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rin\Documents\EOK_2023\AUDIT_2023\"/>
    </mc:Choice>
  </mc:AlternateContent>
  <xr:revisionPtr revIDLastSave="0" documentId="13_ncr:1_{0B076836-3EA4-4209-9D78-E55464B394CB}" xr6:coauthVersionLast="47" xr6:coauthVersionMax="47" xr10:uidLastSave="{00000000-0000-0000-0000-000000000000}"/>
  <bookViews>
    <workbookView xWindow="-19320" yWindow="-3960" windowWidth="19440" windowHeight="15000" xr2:uid="{00000000-000D-0000-FFFF-FFFF00000000}"/>
  </bookViews>
  <sheets>
    <sheet name="Üld" sheetId="3" r:id="rId1"/>
    <sheet name="Tulud" sheetId="1" r:id="rId2"/>
    <sheet name="Kulud" sheetId="2" r:id="rId3"/>
    <sheet name="EOK töövihik 31122023" sheetId="4" r:id="rId4"/>
    <sheet name="EOK_tulemiaruanne_2023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F20" i="4"/>
  <c r="D96" i="2"/>
  <c r="D93" i="2" s="1"/>
  <c r="D83" i="2" s="1"/>
  <c r="D76" i="2"/>
  <c r="D81" i="2"/>
  <c r="C87" i="4"/>
  <c r="D89" i="5"/>
  <c r="D150" i="5"/>
  <c r="C150" i="5"/>
  <c r="D148" i="5"/>
  <c r="D151" i="5" s="1"/>
  <c r="D167" i="5" s="1"/>
  <c r="C148" i="5"/>
  <c r="E86" i="2"/>
  <c r="F86" i="2"/>
  <c r="D75" i="2"/>
  <c r="D80" i="2"/>
  <c r="D19" i="1"/>
  <c r="D5" i="3" s="1"/>
  <c r="I5" i="3" s="1"/>
  <c r="D17" i="1"/>
  <c r="D29" i="2"/>
  <c r="E61" i="4"/>
  <c r="E51" i="4"/>
  <c r="D57" i="2"/>
  <c r="C3" i="3"/>
  <c r="C6" i="3"/>
  <c r="C5" i="3"/>
  <c r="C4" i="3"/>
  <c r="D4" i="3"/>
  <c r="E4" i="3" s="1"/>
  <c r="F4" i="3" s="1"/>
  <c r="E7" i="3"/>
  <c r="E64" i="4"/>
  <c r="D37" i="2"/>
  <c r="D15" i="3" s="1"/>
  <c r="C37" i="2"/>
  <c r="C15" i="3" s="1"/>
  <c r="E40" i="2"/>
  <c r="F40" i="2" s="1"/>
  <c r="E41" i="2"/>
  <c r="F41" i="2" s="1"/>
  <c r="C89" i="5"/>
  <c r="F10" i="4"/>
  <c r="F9" i="4"/>
  <c r="F14" i="4" s="1"/>
  <c r="F26" i="4"/>
  <c r="C151" i="5" l="1"/>
  <c r="C167" i="5" s="1"/>
  <c r="E5" i="3"/>
  <c r="F5" i="3" s="1"/>
  <c r="I17" i="3"/>
  <c r="E15" i="3"/>
  <c r="F15" i="3" s="1"/>
  <c r="C8" i="3"/>
  <c r="I4" i="3"/>
  <c r="E76" i="4"/>
  <c r="F45" i="4"/>
  <c r="F46" i="4"/>
  <c r="E67" i="4"/>
  <c r="D13" i="2"/>
  <c r="D5" i="2"/>
  <c r="D4" i="2" l="1"/>
  <c r="C21" i="1"/>
  <c r="C4" i="1"/>
  <c r="C2" i="1"/>
  <c r="C25" i="1" s="1"/>
  <c r="C93" i="2"/>
  <c r="C87" i="2"/>
  <c r="C83" i="2" s="1"/>
  <c r="C20" i="3" s="1"/>
  <c r="C73" i="2"/>
  <c r="C72" i="2" s="1"/>
  <c r="C19" i="3" s="1"/>
  <c r="C68" i="2"/>
  <c r="C18" i="3" s="1"/>
  <c r="C56" i="2"/>
  <c r="C17" i="3" s="1"/>
  <c r="C44" i="2"/>
  <c r="C43" i="2"/>
  <c r="C16" i="3" s="1"/>
  <c r="C29" i="2"/>
  <c r="C28" i="2" s="1"/>
  <c r="C14" i="3" s="1"/>
  <c r="C14" i="2"/>
  <c r="C8" i="2"/>
  <c r="C4" i="2"/>
  <c r="C156" i="4"/>
  <c r="C152" i="4"/>
  <c r="C149" i="4"/>
  <c r="F151" i="4" s="1"/>
  <c r="C142" i="4"/>
  <c r="F135" i="4" s="1"/>
  <c r="C129" i="4"/>
  <c r="C125" i="4"/>
  <c r="F128" i="4" s="1"/>
  <c r="C117" i="4"/>
  <c r="F92" i="4"/>
  <c r="F91" i="4"/>
  <c r="F90" i="4"/>
  <c r="F86" i="4"/>
  <c r="F85" i="4"/>
  <c r="F84" i="4"/>
  <c r="F83" i="4"/>
  <c r="F82" i="4"/>
  <c r="F81" i="4"/>
  <c r="F80" i="4"/>
  <c r="F79" i="4"/>
  <c r="E70" i="4"/>
  <c r="E59" i="4"/>
  <c r="E54" i="4"/>
  <c r="C31" i="4"/>
  <c r="F6" i="4" s="1"/>
  <c r="C28" i="4"/>
  <c r="F11" i="4"/>
  <c r="F5" i="4"/>
  <c r="F4" i="4"/>
  <c r="E84" i="2"/>
  <c r="C3" i="2" l="1"/>
  <c r="F153" i="4"/>
  <c r="F154" i="4"/>
  <c r="F7" i="4"/>
  <c r="F143" i="4" s="1"/>
  <c r="F12" i="4"/>
  <c r="F17" i="4" s="1"/>
  <c r="C143" i="4"/>
  <c r="F93" i="4"/>
  <c r="C32" i="4"/>
  <c r="F87" i="4"/>
  <c r="C100" i="2" l="1"/>
  <c r="C13" i="3"/>
  <c r="C22" i="3" s="1"/>
  <c r="F94" i="4"/>
  <c r="F47" i="4" s="1"/>
  <c r="F49" i="4" s="1"/>
  <c r="F137" i="4" s="1"/>
  <c r="F140" i="4" s="1"/>
  <c r="F159" i="4" s="1"/>
  <c r="C144" i="4"/>
  <c r="C159" i="4" s="1"/>
  <c r="D68" i="2"/>
  <c r="D18" i="3" s="1"/>
  <c r="D14" i="2"/>
  <c r="D3" i="2" s="1"/>
  <c r="D13" i="3" s="1"/>
  <c r="E20" i="2"/>
  <c r="F20" i="2" s="1"/>
  <c r="E21" i="2"/>
  <c r="F21" i="2" s="1"/>
  <c r="E22" i="2"/>
  <c r="F22" i="2" s="1"/>
  <c r="E23" i="2"/>
  <c r="F23" i="2" s="1"/>
  <c r="E24" i="2"/>
  <c r="F24" i="2" s="1"/>
  <c r="E25" i="2"/>
  <c r="D28" i="2"/>
  <c r="D14" i="3" s="1"/>
  <c r="D2" i="1"/>
  <c r="D3" i="3" s="1"/>
  <c r="E3" i="3" s="1"/>
  <c r="I15" i="3" l="1"/>
  <c r="E13" i="3"/>
  <c r="F13" i="3" s="1"/>
  <c r="I16" i="3"/>
  <c r="E14" i="3"/>
  <c r="F14" i="3" s="1"/>
  <c r="I20" i="3"/>
  <c r="E18" i="3"/>
  <c r="F18" i="3" s="1"/>
  <c r="D56" i="2"/>
  <c r="D17" i="3" s="1"/>
  <c r="D44" i="2"/>
  <c r="D43" i="2" s="1"/>
  <c r="D16" i="3" s="1"/>
  <c r="D87" i="2"/>
  <c r="I18" i="3" l="1"/>
  <c r="E16" i="3"/>
  <c r="F16" i="3" s="1"/>
  <c r="I19" i="3"/>
  <c r="E17" i="3"/>
  <c r="F17" i="3" s="1"/>
  <c r="D20" i="3"/>
  <c r="D73" i="2"/>
  <c r="D72" i="2" s="1"/>
  <c r="D19" i="3" s="1"/>
  <c r="E19" i="3" l="1"/>
  <c r="F19" i="3" s="1"/>
  <c r="I21" i="3"/>
  <c r="I22" i="3"/>
  <c r="E20" i="3"/>
  <c r="F20" i="3" s="1"/>
  <c r="D22" i="3"/>
  <c r="E22" i="3" s="1"/>
  <c r="F22" i="3" s="1"/>
  <c r="D100" i="2"/>
  <c r="F3" i="3"/>
  <c r="D21" i="1"/>
  <c r="D6" i="3" s="1"/>
  <c r="E13" i="2"/>
  <c r="E12" i="2"/>
  <c r="E7" i="2"/>
  <c r="E8" i="2"/>
  <c r="E9" i="2"/>
  <c r="E10" i="2"/>
  <c r="E11" i="2"/>
  <c r="E81" i="2"/>
  <c r="F81" i="2" s="1"/>
  <c r="I6" i="3" l="1"/>
  <c r="D8" i="3"/>
  <c r="E8" i="3" s="1"/>
  <c r="F8" i="3" s="1"/>
  <c r="E6" i="3"/>
  <c r="F6" i="3" s="1"/>
  <c r="E50" i="2"/>
  <c r="F50" i="2" s="1"/>
  <c r="E51" i="2"/>
  <c r="F51" i="2" s="1"/>
  <c r="E52" i="2"/>
  <c r="F52" i="2" s="1"/>
  <c r="E53" i="2"/>
  <c r="F53" i="2" s="1"/>
  <c r="F8" i="2"/>
  <c r="E30" i="2"/>
  <c r="F30" i="2" s="1"/>
  <c r="E31" i="2"/>
  <c r="F31" i="2" s="1"/>
  <c r="E32" i="2"/>
  <c r="F32" i="2" s="1"/>
  <c r="E33" i="2"/>
  <c r="F33" i="2" s="1"/>
  <c r="E34" i="2"/>
  <c r="F34" i="2" s="1"/>
  <c r="E35" i="2"/>
  <c r="F35" i="2" s="1"/>
  <c r="E38" i="2"/>
  <c r="F38" i="2" s="1"/>
  <c r="E39" i="2"/>
  <c r="F39" i="2" s="1"/>
  <c r="E45" i="2"/>
  <c r="F45" i="2" s="1"/>
  <c r="E46" i="2"/>
  <c r="F46" i="2" s="1"/>
  <c r="E47" i="2"/>
  <c r="F47" i="2" s="1"/>
  <c r="E48" i="2"/>
  <c r="F48" i="2" s="1"/>
  <c r="E49" i="2"/>
  <c r="F49" i="2" s="1"/>
  <c r="E57" i="2"/>
  <c r="F57" i="2" s="1"/>
  <c r="E58" i="2"/>
  <c r="F58" i="2" s="1"/>
  <c r="E59" i="2"/>
  <c r="F59" i="2" s="1"/>
  <c r="E69" i="2"/>
  <c r="F69" i="2" s="1"/>
  <c r="E70" i="2"/>
  <c r="F70" i="2" s="1"/>
  <c r="E74" i="2"/>
  <c r="F74" i="2" s="1"/>
  <c r="E75" i="2"/>
  <c r="F75" i="2" s="1"/>
  <c r="E76" i="2"/>
  <c r="F76" i="2" s="1"/>
  <c r="E77" i="2"/>
  <c r="F77" i="2" s="1"/>
  <c r="E78" i="2"/>
  <c r="F78" i="2" s="1"/>
  <c r="E79" i="2"/>
  <c r="F79" i="2" s="1"/>
  <c r="E80" i="2"/>
  <c r="F80" i="2" s="1"/>
  <c r="F84" i="2"/>
  <c r="E85" i="2"/>
  <c r="F85" i="2" s="1"/>
  <c r="E87" i="2"/>
  <c r="F87" i="2" s="1"/>
  <c r="E88" i="2"/>
  <c r="F88" i="2" s="1"/>
  <c r="E89" i="2"/>
  <c r="F89" i="2" s="1"/>
  <c r="E90" i="2"/>
  <c r="F90" i="2" s="1"/>
  <c r="E91" i="2"/>
  <c r="F91" i="2" s="1"/>
  <c r="E92" i="2"/>
  <c r="F92" i="2" s="1"/>
  <c r="E94" i="2"/>
  <c r="F94" i="2" s="1"/>
  <c r="E95" i="2"/>
  <c r="F95" i="2" s="1"/>
  <c r="E96" i="2"/>
  <c r="F96" i="2" s="1"/>
  <c r="E97" i="2"/>
  <c r="F97" i="2" s="1"/>
  <c r="F9" i="2"/>
  <c r="F10" i="2"/>
  <c r="F11" i="2"/>
  <c r="F12" i="2"/>
  <c r="F13" i="2"/>
  <c r="E15" i="2"/>
  <c r="F15" i="2" s="1"/>
  <c r="E16" i="2"/>
  <c r="F16" i="2" s="1"/>
  <c r="E17" i="2"/>
  <c r="F17" i="2" s="1"/>
  <c r="E18" i="2"/>
  <c r="F18" i="2" s="1"/>
  <c r="E19" i="2"/>
  <c r="F19" i="2" s="1"/>
  <c r="E26" i="2"/>
  <c r="F26" i="2" s="1"/>
  <c r="E6" i="2"/>
  <c r="F6" i="2" s="1"/>
  <c r="E5" i="2"/>
  <c r="F5" i="2" s="1"/>
  <c r="F7" i="2"/>
  <c r="D24" i="3" l="1"/>
  <c r="E3" i="1"/>
  <c r="F3" i="1" s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E13" i="1"/>
  <c r="E15" i="1"/>
  <c r="F15" i="1" s="1"/>
  <c r="E17" i="1"/>
  <c r="F17" i="1" s="1"/>
  <c r="E19" i="1"/>
  <c r="F19" i="1" s="1"/>
  <c r="E22" i="1"/>
  <c r="F22" i="1" s="1"/>
  <c r="E23" i="1"/>
  <c r="F23" i="1" s="1"/>
  <c r="E37" i="2"/>
  <c r="F37" i="2" s="1"/>
  <c r="E93" i="2"/>
  <c r="F93" i="2" s="1"/>
  <c r="E68" i="2" l="1"/>
  <c r="F68" i="2" s="1"/>
  <c r="E43" i="2" l="1"/>
  <c r="F43" i="2" s="1"/>
  <c r="E44" i="2"/>
  <c r="F44" i="2" s="1"/>
  <c r="E72" i="2"/>
  <c r="F72" i="2" s="1"/>
  <c r="E73" i="2"/>
  <c r="F73" i="2" s="1"/>
  <c r="E14" i="2"/>
  <c r="F14" i="2" s="1"/>
  <c r="E29" i="2" l="1"/>
  <c r="F29" i="2" s="1"/>
  <c r="E28" i="2" l="1"/>
  <c r="F28" i="2" s="1"/>
  <c r="E4" i="2"/>
  <c r="F4" i="2" s="1"/>
  <c r="E83" i="2"/>
  <c r="F83" i="2" s="1"/>
  <c r="E3" i="2" l="1"/>
  <c r="F3" i="2" s="1"/>
  <c r="E21" i="1"/>
  <c r="F21" i="1" s="1"/>
  <c r="E56" i="2" l="1"/>
  <c r="F56" i="2" s="1"/>
  <c r="E100" i="2"/>
  <c r="F100" i="2" s="1"/>
  <c r="I3" i="3" l="1"/>
  <c r="E2" i="1"/>
  <c r="F2" i="1" s="1"/>
  <c r="D25" i="1"/>
  <c r="E25" i="1" s="1"/>
  <c r="F25" i="1" s="1"/>
</calcChain>
</file>

<file path=xl/sharedStrings.xml><?xml version="1.0" encoding="utf-8"?>
<sst xmlns="http://schemas.openxmlformats.org/spreadsheetml/2006/main" count="508" uniqueCount="298">
  <si>
    <t>TULUD</t>
  </si>
  <si>
    <t>Toetus riigi eelarvest</t>
  </si>
  <si>
    <t>OM osalus</t>
  </si>
  <si>
    <t>OM ettevalmistus</t>
  </si>
  <si>
    <t>Toetajad</t>
  </si>
  <si>
    <t>Rahvusvaheline toetus</t>
  </si>
  <si>
    <t xml:space="preserve">Muud tulud </t>
  </si>
  <si>
    <t>teenused alaliitudele</t>
  </si>
  <si>
    <t>KOKKU</t>
  </si>
  <si>
    <t>Muutus</t>
  </si>
  <si>
    <t>Muutus %</t>
  </si>
  <si>
    <t>KULUD</t>
  </si>
  <si>
    <t xml:space="preserve">1. </t>
  </si>
  <si>
    <t>OM ettevalmistus ja saavutussport</t>
  </si>
  <si>
    <t>Noorteprojektid</t>
  </si>
  <si>
    <t>Haridusprojektid</t>
  </si>
  <si>
    <t>Kõrgharidusstipendiumid</t>
  </si>
  <si>
    <t>Sporditeaduse toetus</t>
  </si>
  <si>
    <t>Liikumisharrastuse projektid</t>
  </si>
  <si>
    <t>"Sport kõigile"</t>
  </si>
  <si>
    <t>Olümpialiikumise projektid</t>
  </si>
  <si>
    <t>Olümpismi edendamine</t>
  </si>
  <si>
    <t>Rahvusvahelises spordielus osalemise toetus</t>
  </si>
  <si>
    <t>Turundusprojektid</t>
  </si>
  <si>
    <t>Üritused ja auhinnad</t>
  </si>
  <si>
    <t>EOK organisatsioon</t>
  </si>
  <si>
    <t>Rahvusvahelise suhted, liikmemaksud</t>
  </si>
  <si>
    <t>Tööruumid</t>
  </si>
  <si>
    <t>sh kommunaalkulud jne</t>
  </si>
  <si>
    <t>Transpordikulu</t>
  </si>
  <si>
    <t>Lähetuskulu</t>
  </si>
  <si>
    <t>Kommunikatsioonikulu</t>
  </si>
  <si>
    <t>Bürookulu</t>
  </si>
  <si>
    <t>Muutus%</t>
  </si>
  <si>
    <t>Spordipreemiad</t>
  </si>
  <si>
    <t>"EOK tuleb kooli"</t>
  </si>
  <si>
    <t>Ajakiri "Liikumine ja sport"</t>
  </si>
  <si>
    <t>Sportlik perekond</t>
  </si>
  <si>
    <t>EOK koosolekud (täiskogu, esind, medalid, inf)</t>
  </si>
  <si>
    <t>sh rent</t>
  </si>
  <si>
    <t>OM ettevalmistus/saavutussport</t>
  </si>
  <si>
    <t>Noortespordi projektid</t>
  </si>
  <si>
    <t>Liikumisharrastus</t>
  </si>
  <si>
    <t>Olümpialiikumine</t>
  </si>
  <si>
    <t>Püsikulu</t>
  </si>
  <si>
    <t>Vahe</t>
  </si>
  <si>
    <t>Vahe %</t>
  </si>
  <si>
    <t>Muu</t>
  </si>
  <si>
    <t>Treenerid</t>
  </si>
  <si>
    <t>Toetused spordiorganisatsioonidele</t>
  </si>
  <si>
    <t>Spordiorganisatsioonid</t>
  </si>
  <si>
    <t>Reklaamid</t>
  </si>
  <si>
    <t>PÖFF</t>
  </si>
  <si>
    <t>Solidarity seminarid</t>
  </si>
  <si>
    <t>Lennupiletid</t>
  </si>
  <si>
    <t xml:space="preserve">                        </t>
  </si>
  <si>
    <t xml:space="preserve">    </t>
  </si>
  <si>
    <t>Ühisprojektid sponsoritega/OM</t>
  </si>
  <si>
    <t>Transport</t>
  </si>
  <si>
    <t>Muu kulu</t>
  </si>
  <si>
    <t>Varustus</t>
  </si>
  <si>
    <t>Meened</t>
  </si>
  <si>
    <t>Eesti Olümpiaakadeemia</t>
  </si>
  <si>
    <t>Spordimeditsiin</t>
  </si>
  <si>
    <t>Teaduslikkuse tõstmine liikumisest</t>
  </si>
  <si>
    <t>Videoklipid</t>
  </si>
  <si>
    <t>Muud toetused alaliitudele</t>
  </si>
  <si>
    <t>EOK sümboolika ja meedia</t>
  </si>
  <si>
    <t>Tööjõukulu (koos maksudega)</t>
  </si>
  <si>
    <t>Kommunikatsioon</t>
  </si>
  <si>
    <t>Olümpiaüritused</t>
  </si>
  <si>
    <t>Noorte stipendiumid</t>
  </si>
  <si>
    <t>Noortespordi toetus</t>
  </si>
  <si>
    <t>Alaliitude tegevustoetus</t>
  </si>
  <si>
    <t>Kohtunike toetus</t>
  </si>
  <si>
    <t>Alaliitude toetus HMN</t>
  </si>
  <si>
    <t>Võistkonnaalade koondised</t>
  </si>
  <si>
    <t>Ettevalmistustoetused</t>
  </si>
  <si>
    <t>Liigume.ee</t>
  </si>
  <si>
    <t>Osamaksud</t>
  </si>
  <si>
    <t>Osalustasu ja majautus</t>
  </si>
  <si>
    <t>raamatupidamine ja audit</t>
  </si>
  <si>
    <t>bürooseadmed</t>
  </si>
  <si>
    <t xml:space="preserve">kontorikulud </t>
  </si>
  <si>
    <t>EYOF ja YOG</t>
  </si>
  <si>
    <t>Team Estonia</t>
  </si>
  <si>
    <t>Tugiteenused</t>
  </si>
  <si>
    <t>Olümpiamängud</t>
  </si>
  <si>
    <t>Tegevustugi</t>
  </si>
  <si>
    <t>Koolitusprogrammid</t>
  </si>
  <si>
    <t xml:space="preserve">"Sport koolis" </t>
  </si>
  <si>
    <t>Kompetentsikeskus</t>
  </si>
  <si>
    <t>Hotellid/eellaager</t>
  </si>
  <si>
    <t>EOK 100</t>
  </si>
  <si>
    <t>sh hasartmängumaks</t>
  </si>
  <si>
    <t>OM alade koondised</t>
  </si>
  <si>
    <t>Mitte OM alade koondised</t>
  </si>
  <si>
    <t>Lisatoetused</t>
  </si>
  <si>
    <t>Muud</t>
  </si>
  <si>
    <t>II Euroopa Mängud Krakow</t>
  </si>
  <si>
    <t>Anti-doping</t>
  </si>
  <si>
    <t>OM ettevalmistus/Team Estonia</t>
  </si>
  <si>
    <t>EOK toetus</t>
  </si>
  <si>
    <t>Periood</t>
  </si>
  <si>
    <t>EOK</t>
  </si>
  <si>
    <t xml:space="preserve">                           Tegevustulud</t>
  </si>
  <si>
    <t>Põhitegevuse tulud</t>
  </si>
  <si>
    <t>Kultuuriministeerium-Team Estonia tugiteenused</t>
  </si>
  <si>
    <t>Annetused ja toetused</t>
  </si>
  <si>
    <t>Kultuuriministeerium-kohtunike toetus</t>
  </si>
  <si>
    <t>Tulud ettevõtlusest</t>
  </si>
  <si>
    <t>Kultuuriministeerium-alaliitude tegevustoetus</t>
  </si>
  <si>
    <t>Muud tulud</t>
  </si>
  <si>
    <t>Kultuuriministeerium-noortespordi toetus</t>
  </si>
  <si>
    <t>Tulud kokku</t>
  </si>
  <si>
    <t>Kultuuriministeerium-saavutusspordi toetus</t>
  </si>
  <si>
    <t>Kultuuriministeerium OM osalus</t>
  </si>
  <si>
    <t>OM TULUD</t>
  </si>
  <si>
    <t>Kultuuriministeerium-spordipreemiad</t>
  </si>
  <si>
    <t>Sihtotstarbelised</t>
  </si>
  <si>
    <t>Kultuuriministeerium-tegevuskulude toetus</t>
  </si>
  <si>
    <t>Mittesihtotstarbelised</t>
  </si>
  <si>
    <t>Kultuuriministeerium-OM ettevalmistus/hasart</t>
  </si>
  <si>
    <t>Kultuuriministeerium-Noorsportlaste tegevuse toetus</t>
  </si>
  <si>
    <t>Kultuurkapital</t>
  </si>
  <si>
    <t>Toetus (rahaline)</t>
  </si>
  <si>
    <t>Toetus ROK ja tema fondid-siht</t>
  </si>
  <si>
    <t>Sihtotstarbelised tulud IOC,EOC</t>
  </si>
  <si>
    <t>European Games tulud</t>
  </si>
  <si>
    <t>Muud rahvusvahelised tulud</t>
  </si>
  <si>
    <t>Reklaamitulu</t>
  </si>
  <si>
    <t>KultMin toetused</t>
  </si>
  <si>
    <t>Medalite müügitulu</t>
  </si>
  <si>
    <t>Vahendus muud tulud</t>
  </si>
  <si>
    <t>Kompenseeritavad kulud</t>
  </si>
  <si>
    <t>Koolitustulud</t>
  </si>
  <si>
    <t>Alaliitude koolitus</t>
  </si>
  <si>
    <t>EOK spordiarbitraaž</t>
  </si>
  <si>
    <t>Rendi vahendus</t>
  </si>
  <si>
    <t>Kokku Põhitegevuse tulud</t>
  </si>
  <si>
    <t>Kokku Muud tulud</t>
  </si>
  <si>
    <t>Tegevustulud kokku</t>
  </si>
  <si>
    <t xml:space="preserve">                           Põhitegevusekulud</t>
  </si>
  <si>
    <t>Otsesed tegevuskulud</t>
  </si>
  <si>
    <t>EOK koosolekute kulud</t>
  </si>
  <si>
    <t>EOK liikmemaksud</t>
  </si>
  <si>
    <t>Sportlasfoorum</t>
  </si>
  <si>
    <t>Mentorprogramm</t>
  </si>
  <si>
    <t>Tiigrikoolitus,alaliitude koolitus</t>
  </si>
  <si>
    <t>Spordijuht 2.0</t>
  </si>
  <si>
    <t>Arengut toetav koolitaja</t>
  </si>
  <si>
    <t>Noorsportlase stipendium/EOK-ERGO</t>
  </si>
  <si>
    <t>RV spordielus osalemise toetus</t>
  </si>
  <si>
    <t>Võistkonna alade toetus(noored, järelkasv)</t>
  </si>
  <si>
    <t>ROK spordiala toetus</t>
  </si>
  <si>
    <t>Sihtprojektid</t>
  </si>
  <si>
    <t>Toetused PaferAS</t>
  </si>
  <si>
    <t>Toetused EOK mitte OM alad</t>
  </si>
  <si>
    <t>tegevuskulud</t>
  </si>
  <si>
    <t>Toetused Forus AS</t>
  </si>
  <si>
    <t>Toetused EOK liikmetele</t>
  </si>
  <si>
    <t>Olümpiakuulsuste jäädvustamine</t>
  </si>
  <si>
    <t>Olümpism</t>
  </si>
  <si>
    <t>Solidarity/JJ</t>
  </si>
  <si>
    <t>ROK-i koolitus</t>
  </si>
  <si>
    <t>OM ettevalmistus/ROK-i toetus</t>
  </si>
  <si>
    <t>OM korralduskulud</t>
  </si>
  <si>
    <t>OM ettevalmistus-treenerid</t>
  </si>
  <si>
    <t>Noorte tippsportlaste toetus</t>
  </si>
  <si>
    <t xml:space="preserve">Team Estonia </t>
  </si>
  <si>
    <t>Noorte treenerite toetus</t>
  </si>
  <si>
    <t>OM ettevalmistus-spordimeditsiin ja teadus</t>
  </si>
  <si>
    <t>spordikoolitus</t>
  </si>
  <si>
    <t>Alaliitude tegevustoetus/KultMin</t>
  </si>
  <si>
    <t>Spordikohtunike toetus/KultMin</t>
  </si>
  <si>
    <t>MitteOM koondised/KultMin</t>
  </si>
  <si>
    <t>toetused alaliitudele</t>
  </si>
  <si>
    <t>Noortespordi toetus/KultMin</t>
  </si>
  <si>
    <t>Team Estonia saavutusspordi toetus/KultMin</t>
  </si>
  <si>
    <t>Team Estoniaga seotud projektid</t>
  </si>
  <si>
    <t>turundus</t>
  </si>
  <si>
    <t>Team Estonia meedia ja turundus</t>
  </si>
  <si>
    <t>TD-ühisprojektid sponsoritega</t>
  </si>
  <si>
    <t>TD-EOK sümboolika ja meedia</t>
  </si>
  <si>
    <t>Noortesport</t>
  </si>
  <si>
    <t>ERR projektitoetus lep.1.1-16/1617-23</t>
  </si>
  <si>
    <t>TD-kodulehe arendus</t>
  </si>
  <si>
    <t>TD-üritused ja auhinnad</t>
  </si>
  <si>
    <t>TD-Spordi turunduskonseptsioon</t>
  </si>
  <si>
    <t>TD-Spordiaasta lõpetamine</t>
  </si>
  <si>
    <t>TD-teeneteplaadid, meened jne</t>
  </si>
  <si>
    <t>LH</t>
  </si>
  <si>
    <t>TD_EOK100 medalid,üritused</t>
  </si>
  <si>
    <t>EOA</t>
  </si>
  <si>
    <t>SSD - EYOF osavõtt</t>
  </si>
  <si>
    <t>Üür ja rent</t>
  </si>
  <si>
    <t>SSD -EYOF osavõtu tagamine</t>
  </si>
  <si>
    <t>Büroo</t>
  </si>
  <si>
    <t>Eesti Spordi Kongress</t>
  </si>
  <si>
    <t>European Games</t>
  </si>
  <si>
    <t>Vahendus</t>
  </si>
  <si>
    <t>Eesti meistrivõistluste medalid</t>
  </si>
  <si>
    <t>Lähetuskulud</t>
  </si>
  <si>
    <t>LH-Olümpiapäev</t>
  </si>
  <si>
    <t>LH-SA Liikumisharrastuse KK</t>
  </si>
  <si>
    <t>Koolituskulud</t>
  </si>
  <si>
    <t>Kokku Otsesed tegevuskulud</t>
  </si>
  <si>
    <t>Juriidilised kulud</t>
  </si>
  <si>
    <t>Muud tegevuskulud</t>
  </si>
  <si>
    <t>PK - ruumide rent</t>
  </si>
  <si>
    <t>Pärnu mnt 102 C-Jalgpalli 1/jagatavad</t>
  </si>
  <si>
    <t>Andmeside ja internet</t>
  </si>
  <si>
    <t>Liikmemaksud, rahvusvahel.</t>
  </si>
  <si>
    <t>Mobiiltelefon</t>
  </si>
  <si>
    <t>Koosolekud</t>
  </si>
  <si>
    <t>Kullerteenus</t>
  </si>
  <si>
    <t>EMV medalid</t>
  </si>
  <si>
    <t>Postikulud</t>
  </si>
  <si>
    <t>Koolitused</t>
  </si>
  <si>
    <t>Tegevuskulud EA-s</t>
  </si>
  <si>
    <t>RP programmide rendimaksed</t>
  </si>
  <si>
    <t>Ruumide sisustus</t>
  </si>
  <si>
    <t>Büroomasinad, olmetehnika</t>
  </si>
  <si>
    <t>Seadmete üür</t>
  </si>
  <si>
    <t>Kontorikulud</t>
  </si>
  <si>
    <t>Raamatupidamisteenused</t>
  </si>
  <si>
    <t>Auditi kulud</t>
  </si>
  <si>
    <t>Autode kasutusrent</t>
  </si>
  <si>
    <t>Hooldus</t>
  </si>
  <si>
    <t>Bensiinikulud</t>
  </si>
  <si>
    <t>Parkimine</t>
  </si>
  <si>
    <t>Perioodika</t>
  </si>
  <si>
    <t>Sõidukite kindlustusmaksed</t>
  </si>
  <si>
    <t xml:space="preserve">Isikliku auto kasutamise kulud </t>
  </si>
  <si>
    <t>Ostetud transporditeenused</t>
  </si>
  <si>
    <t>Tolli teenustasud</t>
  </si>
  <si>
    <t>Komandeeringukulu lubatud piirmäärades</t>
  </si>
  <si>
    <t>Komandeeringukulu päevaraha</t>
  </si>
  <si>
    <t>Panga teenustasud</t>
  </si>
  <si>
    <t>Kokku Muud tegevuskulud</t>
  </si>
  <si>
    <t>Tööjõu kulud</t>
  </si>
  <si>
    <t xml:space="preserve">  a) palgakulu</t>
  </si>
  <si>
    <t>Juhtkonna töötasu</t>
  </si>
  <si>
    <t>Koosseisuliste töötajate palk</t>
  </si>
  <si>
    <t>Lepinguliste töötajate palk</t>
  </si>
  <si>
    <t>Lisatasud ja preemiad</t>
  </si>
  <si>
    <t>Puhkusetasud</t>
  </si>
  <si>
    <t>Kokku   a) palgakulu</t>
  </si>
  <si>
    <t xml:space="preserve">  b) sotsiaalmaksud</t>
  </si>
  <si>
    <t>Palgaga seotud maksud:sots.maks</t>
  </si>
  <si>
    <t>Palgaga seotud maksud:töötuskindlustus</t>
  </si>
  <si>
    <t>Kokku   b) sotsiaalmaksud</t>
  </si>
  <si>
    <t>Tööjõukulud</t>
  </si>
  <si>
    <t>Kulum</t>
  </si>
  <si>
    <t>Muud ärikulud</t>
  </si>
  <si>
    <t>Erisoodustuse sotsiaalmaks</t>
  </si>
  <si>
    <t>Kahjum valuutakursi muutustest</t>
  </si>
  <si>
    <t>Viivised, intressid, sissenõuded</t>
  </si>
  <si>
    <t>Kohalik maks-reklaamimaks</t>
  </si>
  <si>
    <t>Kulutused kingitustele/annetustele</t>
  </si>
  <si>
    <t>Muud kulud:</t>
  </si>
  <si>
    <t>Esinduskulud</t>
  </si>
  <si>
    <t>Esinduskulud omatöötaja osa (ES)</t>
  </si>
  <si>
    <t>Kulud kokku:</t>
  </si>
  <si>
    <t>Spordikulude kompenseerimine</t>
  </si>
  <si>
    <t>Tulumaksu kulu</t>
  </si>
  <si>
    <t>Tegevustulem:</t>
  </si>
  <si>
    <t>Kokku  Muud ärikulud</t>
  </si>
  <si>
    <t>Põhitegevuskulud kokku</t>
  </si>
  <si>
    <t>Tegevustulem</t>
  </si>
  <si>
    <t>Tulud kokku:</t>
  </si>
  <si>
    <t>Finantstulud</t>
  </si>
  <si>
    <t xml:space="preserve">  c) finantstulud muudelt pikaajalistelt finantsinv.lt</t>
  </si>
  <si>
    <t>Intressitulud</t>
  </si>
  <si>
    <t>Intressitulud deposiidilt</t>
  </si>
  <si>
    <t>Kokku   c) finantstulud muudelt pikaajalistelt finantsinv.lt</t>
  </si>
  <si>
    <t xml:space="preserve">  d) kasum valuutakursi muutustest</t>
  </si>
  <si>
    <t xml:space="preserve">Kasum valuutakursi muutustest </t>
  </si>
  <si>
    <t>Kokku   d) kasum valuutakursi muutustest</t>
  </si>
  <si>
    <t>Fin.tulu-kulu:</t>
  </si>
  <si>
    <t>Finantskulud</t>
  </si>
  <si>
    <t xml:space="preserve">  d) kahjum valuutakursi muutustest</t>
  </si>
  <si>
    <t>Kasum/kahjum val.kursi muut:</t>
  </si>
  <si>
    <t>Fin-kulud:</t>
  </si>
  <si>
    <t>Kokku   d) kahjum valuutakursi muutustest</t>
  </si>
  <si>
    <t xml:space="preserve">    Aruandeperioodi tulem</t>
  </si>
  <si>
    <t>Kogutulem:</t>
  </si>
  <si>
    <t>Aasta algusest</t>
  </si>
  <si>
    <t>Kokku Muud ärikulud</t>
  </si>
  <si>
    <t>Aruandeaasta tulem</t>
  </si>
  <si>
    <t>2023 täitmine</t>
  </si>
  <si>
    <t>Olümpiapäev</t>
  </si>
  <si>
    <t>Konto 40122 jaotus</t>
  </si>
  <si>
    <t>NB! KM OM ettevalmistus EOK</t>
  </si>
  <si>
    <t>EOK tegevustoetus</t>
  </si>
  <si>
    <t>Noorsportlaste tegevuse toetus</t>
  </si>
  <si>
    <t>2023 täitm</t>
  </si>
  <si>
    <t>juriidilised kulud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</si>
</sst>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2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1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indexed="34"/>
      </patternFill>
    </fill>
    <fill>
      <patternFill patternType="solid">
        <fgColor theme="8" tint="0.79995117038483843"/>
        <bgColor indexed="24"/>
      </patternFill>
    </fill>
    <fill>
      <patternFill patternType="solid">
        <fgColor rgb="FF92D050"/>
        <bgColor indexed="43"/>
      </patternFill>
    </fill>
    <fill>
      <patternFill patternType="solid">
        <fgColor rgb="FFF8C4FC"/>
        <bgColor indexed="64"/>
      </patternFill>
    </fill>
    <fill>
      <patternFill patternType="solid">
        <fgColor indexed="50"/>
        <bgColor indexed="42"/>
      </patternFill>
    </fill>
    <fill>
      <patternFill patternType="solid">
        <fgColor rgb="FFFFFF00"/>
        <bgColor indexed="42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4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31"/>
      </patternFill>
    </fill>
    <fill>
      <patternFill patternType="solid">
        <fgColor indexed="42"/>
        <bgColor indexed="43"/>
      </patternFill>
    </fill>
    <fill>
      <patternFill patternType="solid">
        <fgColor rgb="FF00FFFF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FFFF"/>
        <bgColor indexed="41"/>
      </patternFill>
    </fill>
    <fill>
      <patternFill patternType="solid">
        <fgColor rgb="FFFFFF00"/>
        <bgColor indexed="41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20" fillId="0" borderId="0">
      <alignment vertical="center"/>
    </xf>
  </cellStyleXfs>
  <cellXfs count="144">
    <xf numFmtId="0" fontId="0" fillId="0" borderId="0" xfId="0"/>
    <xf numFmtId="3" fontId="0" fillId="0" borderId="0" xfId="0" applyNumberFormat="1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3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3" fontId="4" fillId="0" borderId="0" xfId="0" applyNumberFormat="1" applyFont="1"/>
    <xf numFmtId="3" fontId="4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3" fontId="8" fillId="3" borderId="0" xfId="0" applyNumberFormat="1" applyFont="1" applyFill="1"/>
    <xf numFmtId="0" fontId="0" fillId="0" borderId="1" xfId="0" applyBorder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3" fontId="0" fillId="0" borderId="1" xfId="0" applyNumberFormat="1" applyBorder="1"/>
    <xf numFmtId="0" fontId="1" fillId="2" borderId="1" xfId="0" applyFont="1" applyFill="1" applyBorder="1"/>
    <xf numFmtId="0" fontId="10" fillId="0" borderId="0" xfId="0" applyFont="1" applyAlignment="1">
      <alignment horizontal="left" vertical="center" indent="5"/>
    </xf>
    <xf numFmtId="0" fontId="9" fillId="0" borderId="0" xfId="0" applyFont="1"/>
    <xf numFmtId="0" fontId="12" fillId="0" borderId="0" xfId="0" applyFont="1" applyAlignment="1">
      <alignment horizontal="right"/>
    </xf>
    <xf numFmtId="0" fontId="1" fillId="2" borderId="2" xfId="0" applyFont="1" applyFill="1" applyBorder="1"/>
    <xf numFmtId="0" fontId="13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9" fillId="3" borderId="3" xfId="0" applyFont="1" applyFill="1" applyBorder="1" applyAlignment="1">
      <alignment horizontal="right"/>
    </xf>
    <xf numFmtId="3" fontId="12" fillId="0" borderId="0" xfId="0" applyNumberFormat="1" applyFont="1" applyAlignment="1">
      <alignment horizontal="right"/>
    </xf>
    <xf numFmtId="3" fontId="0" fillId="3" borderId="0" xfId="0" applyNumberForma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3" fontId="1" fillId="3" borderId="0" xfId="0" applyNumberFormat="1" applyFont="1" applyFill="1" applyAlignment="1">
      <alignment horizontal="center"/>
    </xf>
    <xf numFmtId="3" fontId="1" fillId="0" borderId="0" xfId="0" applyNumberFormat="1" applyFont="1" applyAlignment="1">
      <alignment horizontal="center"/>
    </xf>
    <xf numFmtId="3" fontId="2" fillId="3" borderId="0" xfId="0" applyNumberFormat="1" applyFont="1" applyFill="1" applyAlignment="1">
      <alignment horizontal="center"/>
    </xf>
    <xf numFmtId="3" fontId="13" fillId="3" borderId="0" xfId="0" applyNumberFormat="1" applyFont="1" applyFill="1" applyAlignment="1">
      <alignment horizontal="center"/>
    </xf>
    <xf numFmtId="3" fontId="7" fillId="3" borderId="0" xfId="0" applyNumberFormat="1" applyFont="1" applyFill="1" applyAlignment="1">
      <alignment horizontal="center"/>
    </xf>
    <xf numFmtId="3" fontId="6" fillId="3" borderId="0" xfId="0" applyNumberFormat="1" applyFont="1" applyFill="1" applyAlignment="1">
      <alignment horizontal="center"/>
    </xf>
    <xf numFmtId="3" fontId="6" fillId="0" borderId="0" xfId="0" applyNumberFormat="1" applyFont="1" applyAlignment="1">
      <alignment horizontal="center"/>
    </xf>
    <xf numFmtId="3" fontId="13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3" fontId="11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3" fontId="14" fillId="0" borderId="1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"/>
    </xf>
    <xf numFmtId="3" fontId="15" fillId="0" borderId="1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"/>
    </xf>
    <xf numFmtId="3" fontId="12" fillId="3" borderId="0" xfId="0" applyNumberFormat="1" applyFont="1" applyFill="1" applyAlignment="1">
      <alignment horizontal="center"/>
    </xf>
    <xf numFmtId="3" fontId="11" fillId="3" borderId="0" xfId="0" applyNumberFormat="1" applyFont="1" applyFill="1" applyAlignment="1">
      <alignment horizontal="center"/>
    </xf>
    <xf numFmtId="1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6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1" fontId="11" fillId="0" borderId="0" xfId="0" applyNumberFormat="1" applyFont="1" applyAlignment="1">
      <alignment horizontal="center"/>
    </xf>
    <xf numFmtId="0" fontId="9" fillId="0" borderId="0" xfId="1"/>
    <xf numFmtId="4" fontId="9" fillId="0" borderId="0" xfId="1" applyNumberFormat="1"/>
    <xf numFmtId="0" fontId="9" fillId="0" borderId="0" xfId="2"/>
    <xf numFmtId="4" fontId="9" fillId="0" borderId="0" xfId="3" applyNumberFormat="1"/>
    <xf numFmtId="2" fontId="0" fillId="0" borderId="0" xfId="0" applyNumberFormat="1"/>
    <xf numFmtId="0" fontId="9" fillId="4" borderId="0" xfId="2" applyFill="1"/>
    <xf numFmtId="4" fontId="9" fillId="5" borderId="0" xfId="3" applyNumberFormat="1" applyFill="1"/>
    <xf numFmtId="0" fontId="18" fillId="0" borderId="0" xfId="4" applyAlignment="1">
      <alignment horizontal="left"/>
    </xf>
    <xf numFmtId="4" fontId="18" fillId="6" borderId="0" xfId="4" applyNumberFormat="1" applyFill="1"/>
    <xf numFmtId="0" fontId="0" fillId="4" borderId="0" xfId="0" applyFill="1"/>
    <xf numFmtId="4" fontId="18" fillId="7" borderId="0" xfId="4" applyNumberFormat="1" applyFill="1"/>
    <xf numFmtId="4" fontId="9" fillId="8" borderId="0" xfId="3" applyNumberFormat="1" applyFill="1"/>
    <xf numFmtId="4" fontId="18" fillId="0" borderId="0" xfId="4" applyNumberFormat="1"/>
    <xf numFmtId="4" fontId="19" fillId="0" borderId="0" xfId="4" applyNumberFormat="1" applyFont="1" applyAlignment="1">
      <alignment horizontal="left"/>
    </xf>
    <xf numFmtId="4" fontId="19" fillId="0" borderId="0" xfId="4" applyNumberFormat="1" applyFont="1"/>
    <xf numFmtId="0" fontId="18" fillId="0" borderId="0" xfId="4"/>
    <xf numFmtId="4" fontId="9" fillId="9" borderId="0" xfId="3" applyNumberFormat="1" applyFill="1"/>
    <xf numFmtId="4" fontId="18" fillId="10" borderId="0" xfId="4" applyNumberFormat="1" applyFill="1"/>
    <xf numFmtId="4" fontId="18" fillId="11" borderId="0" xfId="4" applyNumberFormat="1" applyFill="1"/>
    <xf numFmtId="4" fontId="0" fillId="0" borderId="0" xfId="0" applyNumberFormat="1"/>
    <xf numFmtId="4" fontId="9" fillId="4" borderId="0" xfId="3" applyNumberFormat="1" applyFill="1"/>
    <xf numFmtId="4" fontId="18" fillId="12" borderId="0" xfId="4" applyNumberFormat="1" applyFill="1"/>
    <xf numFmtId="4" fontId="9" fillId="2" borderId="0" xfId="3" applyNumberFormat="1" applyFill="1"/>
    <xf numFmtId="4" fontId="15" fillId="8" borderId="0" xfId="3" applyNumberFormat="1" applyFont="1" applyFill="1"/>
    <xf numFmtId="0" fontId="0" fillId="7" borderId="0" xfId="0" applyFill="1"/>
    <xf numFmtId="4" fontId="0" fillId="7" borderId="0" xfId="0" applyNumberFormat="1" applyFill="1"/>
    <xf numFmtId="0" fontId="19" fillId="0" borderId="0" xfId="4" applyFont="1" applyAlignment="1">
      <alignment horizontal="left"/>
    </xf>
    <xf numFmtId="4" fontId="3" fillId="7" borderId="0" xfId="0" applyNumberFormat="1" applyFont="1" applyFill="1"/>
    <xf numFmtId="0" fontId="18" fillId="0" borderId="0" xfId="4" applyAlignment="1">
      <alignment horizontal="center"/>
    </xf>
    <xf numFmtId="4" fontId="18" fillId="0" borderId="0" xfId="4" applyNumberFormat="1" applyAlignment="1">
      <alignment horizontal="left"/>
    </xf>
    <xf numFmtId="4" fontId="11" fillId="0" borderId="0" xfId="0" applyNumberFormat="1" applyFont="1"/>
    <xf numFmtId="2" fontId="18" fillId="0" borderId="0" xfId="4" applyNumberFormat="1" applyAlignment="1">
      <alignment horizontal="left"/>
    </xf>
    <xf numFmtId="0" fontId="0" fillId="13" borderId="0" xfId="0" applyFill="1"/>
    <xf numFmtId="4" fontId="0" fillId="13" borderId="0" xfId="0" applyNumberFormat="1" applyFill="1"/>
    <xf numFmtId="0" fontId="0" fillId="2" borderId="0" xfId="0" applyFill="1"/>
    <xf numFmtId="4" fontId="0" fillId="2" borderId="0" xfId="0" applyNumberFormat="1" applyFill="1"/>
    <xf numFmtId="4" fontId="11" fillId="0" borderId="0" xfId="5" applyNumberFormat="1" applyFont="1">
      <alignment vertical="center"/>
    </xf>
    <xf numFmtId="4" fontId="0" fillId="4" borderId="0" xfId="0" applyNumberFormat="1" applyFill="1"/>
    <xf numFmtId="0" fontId="9" fillId="0" borderId="0" xfId="5" applyFont="1">
      <alignment vertical="center"/>
    </xf>
    <xf numFmtId="4" fontId="18" fillId="14" borderId="0" xfId="4" applyNumberFormat="1" applyFill="1"/>
    <xf numFmtId="4" fontId="18" fillId="15" borderId="0" xfId="4" applyNumberFormat="1" applyFill="1"/>
    <xf numFmtId="4" fontId="0" fillId="16" borderId="0" xfId="0" applyNumberFormat="1" applyFill="1"/>
    <xf numFmtId="4" fontId="21" fillId="16" borderId="0" xfId="4" applyNumberFormat="1" applyFont="1" applyFill="1" applyAlignment="1">
      <alignment horizontal="left"/>
    </xf>
    <xf numFmtId="0" fontId="18" fillId="16" borderId="0" xfId="4" applyFill="1"/>
    <xf numFmtId="4" fontId="18" fillId="17" borderId="0" xfId="4" applyNumberFormat="1" applyFill="1" applyAlignment="1">
      <alignment horizontal="left"/>
    </xf>
    <xf numFmtId="0" fontId="18" fillId="17" borderId="0" xfId="4" applyFill="1"/>
    <xf numFmtId="4" fontId="18" fillId="4" borderId="0" xfId="4" applyNumberFormat="1" applyFill="1" applyAlignment="1">
      <alignment horizontal="left"/>
    </xf>
    <xf numFmtId="0" fontId="18" fillId="4" borderId="0" xfId="4" applyFill="1"/>
    <xf numFmtId="4" fontId="0" fillId="17" borderId="0" xfId="0" applyNumberFormat="1" applyFill="1"/>
    <xf numFmtId="4" fontId="18" fillId="7" borderId="0" xfId="4" applyNumberFormat="1" applyFill="1" applyAlignment="1">
      <alignment horizontal="left"/>
    </xf>
    <xf numFmtId="0" fontId="18" fillId="7" borderId="0" xfId="4" applyFill="1"/>
    <xf numFmtId="4" fontId="18" fillId="16" borderId="0" xfId="4" applyNumberFormat="1" applyFill="1" applyAlignment="1">
      <alignment horizontal="left"/>
    </xf>
    <xf numFmtId="4" fontId="21" fillId="18" borderId="0" xfId="4" applyNumberFormat="1" applyFont="1" applyFill="1"/>
    <xf numFmtId="4" fontId="0" fillId="19" borderId="0" xfId="0" applyNumberFormat="1" applyFill="1"/>
    <xf numFmtId="4" fontId="18" fillId="20" borderId="0" xfId="4" applyNumberFormat="1" applyFill="1"/>
    <xf numFmtId="4" fontId="18" fillId="21" borderId="0" xfId="4" applyNumberFormat="1" applyFill="1"/>
    <xf numFmtId="4" fontId="18" fillId="22" borderId="0" xfId="4" applyNumberFormat="1" applyFill="1"/>
    <xf numFmtId="4" fontId="18" fillId="5" borderId="0" xfId="4" applyNumberFormat="1" applyFill="1"/>
    <xf numFmtId="4" fontId="18" fillId="13" borderId="0" xfId="4" applyNumberFormat="1" applyFill="1"/>
    <xf numFmtId="0" fontId="0" fillId="17" borderId="0" xfId="0" applyFill="1"/>
    <xf numFmtId="0" fontId="0" fillId="23" borderId="0" xfId="0" applyFill="1"/>
    <xf numFmtId="4" fontId="0" fillId="23" borderId="0" xfId="0" applyNumberFormat="1" applyFill="1"/>
    <xf numFmtId="4" fontId="9" fillId="13" borderId="0" xfId="5" applyNumberFormat="1" applyFont="1" applyFill="1" applyAlignment="1">
      <alignment horizontal="right" vertical="center"/>
    </xf>
    <xf numFmtId="4" fontId="19" fillId="3" borderId="0" xfId="4" applyNumberFormat="1" applyFont="1" applyFill="1"/>
    <xf numFmtId="4" fontId="9" fillId="4" borderId="0" xfId="0" applyNumberFormat="1" applyFont="1" applyFill="1"/>
    <xf numFmtId="0" fontId="0" fillId="24" borderId="0" xfId="0" applyFill="1"/>
    <xf numFmtId="4" fontId="0" fillId="24" borderId="0" xfId="0" applyNumberFormat="1" applyFill="1"/>
    <xf numFmtId="0" fontId="21" fillId="25" borderId="0" xfId="4" applyFont="1" applyFill="1"/>
    <xf numFmtId="4" fontId="21" fillId="25" borderId="0" xfId="4" applyNumberFormat="1" applyFont="1" applyFill="1"/>
    <xf numFmtId="0" fontId="21" fillId="26" borderId="0" xfId="4" applyFont="1" applyFill="1"/>
    <xf numFmtId="4" fontId="21" fillId="26" borderId="0" xfId="4" applyNumberFormat="1" applyFont="1" applyFill="1"/>
    <xf numFmtId="0" fontId="0" fillId="27" borderId="0" xfId="0" applyFill="1"/>
    <xf numFmtId="4" fontId="0" fillId="27" borderId="0" xfId="0" applyNumberFormat="1" applyFill="1"/>
    <xf numFmtId="0" fontId="11" fillId="0" borderId="0" xfId="5" applyFont="1">
      <alignment vertical="center"/>
    </xf>
    <xf numFmtId="4" fontId="11" fillId="0" borderId="0" xfId="1" applyNumberFormat="1" applyFont="1"/>
    <xf numFmtId="0" fontId="11" fillId="0" borderId="0" xfId="0" applyFont="1"/>
    <xf numFmtId="0" fontId="20" fillId="0" borderId="0" xfId="5">
      <alignment vertical="center"/>
    </xf>
    <xf numFmtId="0" fontId="11" fillId="0" borderId="0" xfId="1" applyFont="1"/>
    <xf numFmtId="0" fontId="11" fillId="0" borderId="0" xfId="0" applyFont="1" applyAlignment="1">
      <alignment horizontal="center" wrapText="1"/>
    </xf>
    <xf numFmtId="0" fontId="1" fillId="3" borderId="0" xfId="0" applyFont="1" applyFill="1" applyAlignment="1">
      <alignment horizontal="center" wrapText="1"/>
    </xf>
    <xf numFmtId="0" fontId="19" fillId="4" borderId="0" xfId="4" applyFont="1" applyFill="1" applyAlignment="1">
      <alignment horizontal="left"/>
    </xf>
    <xf numFmtId="4" fontId="19" fillId="4" borderId="0" xfId="4" applyNumberFormat="1" applyFont="1" applyFill="1"/>
    <xf numFmtId="0" fontId="18" fillId="0" borderId="0" xfId="4" applyAlignment="1">
      <alignment horizontal="right"/>
    </xf>
    <xf numFmtId="164" fontId="11" fillId="0" borderId="0" xfId="1" applyNumberFormat="1" applyFont="1" applyAlignment="1">
      <alignment horizontal="center"/>
    </xf>
  </cellXfs>
  <cellStyles count="6">
    <cellStyle name="Excel Built-in Normal" xfId="4" xr:uid="{E48BF94E-C694-4970-B487-A40A2FA6D0C7}"/>
    <cellStyle name="Normaallaad" xfId="0" builtinId="0"/>
    <cellStyle name="Normaallaad 2" xfId="5" xr:uid="{724DE1C9-9D4C-4FFD-86A5-077B3F4CF993}"/>
    <cellStyle name="Normaallaad 3" xfId="2" xr:uid="{82B147F1-D3A6-4EE0-B794-B7AFF886A05C}"/>
    <cellStyle name="Normaallaad 4" xfId="3" xr:uid="{93BD59F3-0E6F-42D3-AFD9-17DCD3891DAB}"/>
    <cellStyle name="Normal 2" xfId="1" xr:uid="{87D707A4-7635-45BF-9B57-60437B71AB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562714831757618E-2"/>
          <c:y val="7.729564379992071E-2"/>
          <c:w val="0.51690003817370245"/>
          <c:h val="0.79811095198729265"/>
        </c:manualLayout>
      </c:layout>
      <c:pie3DChart>
        <c:varyColors val="1"/>
        <c:ser>
          <c:idx val="0"/>
          <c:order val="0"/>
          <c:dLbls>
            <c:dLbl>
              <c:idx val="6"/>
              <c:layout>
                <c:manualLayout>
                  <c:x val="-2.5695721967578758E-2"/>
                  <c:y val="-1.04724852661017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33-4635-B5DD-771AFDF756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/>
                </a:pPr>
                <a:endParaRPr lang="et-E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Üld!$H$15:$H$22</c:f>
              <c:strCache>
                <c:ptCount val="8"/>
                <c:pt idx="0">
                  <c:v>OM ettevalmistus/saavutussport</c:v>
                </c:pt>
                <c:pt idx="1">
                  <c:v>Noortespordi projektid</c:v>
                </c:pt>
                <c:pt idx="2">
                  <c:v>Haridusprojektid</c:v>
                </c:pt>
                <c:pt idx="3">
                  <c:v>Liikumisharrastus</c:v>
                </c:pt>
                <c:pt idx="4">
                  <c:v>Olümpialiikumine</c:v>
                </c:pt>
                <c:pt idx="5">
                  <c:v>Spordiorganisatsioonid</c:v>
                </c:pt>
                <c:pt idx="6">
                  <c:v>Turundusprojektid</c:v>
                </c:pt>
                <c:pt idx="7">
                  <c:v>Püsikulu</c:v>
                </c:pt>
              </c:strCache>
            </c:strRef>
          </c:cat>
          <c:val>
            <c:numRef>
              <c:f>Üld!$I$15:$I$22</c:f>
              <c:numCache>
                <c:formatCode>#,##0</c:formatCode>
                <c:ptCount val="8"/>
                <c:pt idx="0">
                  <c:v>8076855</c:v>
                </c:pt>
                <c:pt idx="1">
                  <c:v>330556</c:v>
                </c:pt>
                <c:pt idx="2">
                  <c:v>138794</c:v>
                </c:pt>
                <c:pt idx="3">
                  <c:v>75435</c:v>
                </c:pt>
                <c:pt idx="4">
                  <c:v>128538.94</c:v>
                </c:pt>
                <c:pt idx="5">
                  <c:v>4755890</c:v>
                </c:pt>
                <c:pt idx="6">
                  <c:v>554082</c:v>
                </c:pt>
                <c:pt idx="7">
                  <c:v>876717.62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33-4635-B5DD-771AFDF756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61831718161692728"/>
          <c:y val="4.9305022866519728E-2"/>
          <c:w val="0.37768689693173602"/>
          <c:h val="0.89856884157494499"/>
        </c:manualLayout>
      </c:layout>
      <c:overlay val="0"/>
      <c:txPr>
        <a:bodyPr/>
        <a:lstStyle/>
        <a:p>
          <a:pPr>
            <a:defRPr sz="800" baseline="0"/>
          </a:pPr>
          <a:endParaRPr lang="et-E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D78-4F8A-9DA8-8A63AF0F408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D78-4F8A-9DA8-8A63AF0F408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9D78-4F8A-9DA8-8A63AF0F408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9D78-4F8A-9DA8-8A63AF0F40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t-EE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Üld!$H$3:$H$6</c:f>
              <c:strCache>
                <c:ptCount val="4"/>
                <c:pt idx="0">
                  <c:v>Toetus riigi eelarvest</c:v>
                </c:pt>
                <c:pt idx="1">
                  <c:v>Toetajad</c:v>
                </c:pt>
                <c:pt idx="2">
                  <c:v>Rahvusvaheline toetus</c:v>
                </c:pt>
                <c:pt idx="3">
                  <c:v>Muud</c:v>
                </c:pt>
              </c:strCache>
            </c:strRef>
          </c:cat>
          <c:val>
            <c:numRef>
              <c:f>Üld!$I$3:$I$6</c:f>
              <c:numCache>
                <c:formatCode>#,##0</c:formatCode>
                <c:ptCount val="4"/>
                <c:pt idx="0">
                  <c:v>13692520.93</c:v>
                </c:pt>
                <c:pt idx="1">
                  <c:v>553005</c:v>
                </c:pt>
                <c:pt idx="2">
                  <c:v>617127</c:v>
                </c:pt>
                <c:pt idx="3">
                  <c:v>88060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1B-4E0E-89EE-DB02079BB199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t-E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109536</xdr:colOff>
      <xdr:row>9</xdr:row>
      <xdr:rowOff>19050</xdr:rowOff>
    </xdr:from>
    <xdr:to>
      <xdr:col>9</xdr:col>
      <xdr:colOff>590550</xdr:colOff>
      <xdr:row>22</xdr:row>
      <xdr:rowOff>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100012</xdr:colOff>
      <xdr:row>0</xdr:row>
      <xdr:rowOff>104775</xdr:rowOff>
    </xdr:from>
    <xdr:to>
      <xdr:col>9</xdr:col>
      <xdr:colOff>552450</xdr:colOff>
      <xdr:row>8</xdr:row>
      <xdr:rowOff>142875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3AD33FE0-C0EC-B8D9-E677-EB0D84D87F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workbookViewId="0">
      <selection activeCell="D6" sqref="D6"/>
    </sheetView>
  </sheetViews>
  <sheetFormatPr defaultRowHeight="15" x14ac:dyDescent="0.25"/>
  <cols>
    <col min="1" max="1" width="6.140625" customWidth="1"/>
    <col min="2" max="2" width="29.7109375" customWidth="1"/>
    <col min="3" max="3" width="9.7109375" customWidth="1"/>
    <col min="4" max="4" width="12.42578125" customWidth="1"/>
    <col min="5" max="5" width="10" style="4" customWidth="1"/>
    <col min="6" max="6" width="7.7109375" customWidth="1"/>
    <col min="8" max="8" width="31.28515625" customWidth="1"/>
    <col min="9" max="9" width="9.85546875" bestFit="1" customWidth="1"/>
  </cols>
  <sheetData>
    <row r="1" spans="1:9" x14ac:dyDescent="0.25">
      <c r="H1" t="s">
        <v>56</v>
      </c>
    </row>
    <row r="2" spans="1:9" x14ac:dyDescent="0.25">
      <c r="A2" s="19" t="s">
        <v>0</v>
      </c>
      <c r="B2" s="19"/>
      <c r="C2" s="20">
        <v>2023</v>
      </c>
      <c r="D2" s="55" t="s">
        <v>296</v>
      </c>
      <c r="E2" s="21" t="s">
        <v>45</v>
      </c>
      <c r="F2" s="22" t="s">
        <v>46</v>
      </c>
      <c r="H2" s="2"/>
    </row>
    <row r="3" spans="1:9" x14ac:dyDescent="0.25">
      <c r="A3" s="19">
        <v>1</v>
      </c>
      <c r="B3" s="24" t="s">
        <v>1</v>
      </c>
      <c r="C3" s="46">
        <f>Tulud!$C$2</f>
        <v>13692520.93</v>
      </c>
      <c r="D3" s="46">
        <f>Tulud!$D$2</f>
        <v>13564457.43</v>
      </c>
      <c r="E3" s="10">
        <f>D3-C3</f>
        <v>-128063.5</v>
      </c>
      <c r="F3" s="10">
        <f t="shared" ref="F3" si="0">E3*100/D3</f>
        <v>-0.9441107442806137</v>
      </c>
      <c r="H3" s="26" t="s">
        <v>1</v>
      </c>
      <c r="I3" s="1">
        <f>$C$3</f>
        <v>13692520.93</v>
      </c>
    </row>
    <row r="4" spans="1:9" x14ac:dyDescent="0.25">
      <c r="A4" s="19">
        <v>2</v>
      </c>
      <c r="B4" s="24" t="s">
        <v>4</v>
      </c>
      <c r="C4" s="46">
        <f>Tulud!$C$17</f>
        <v>450000</v>
      </c>
      <c r="D4" s="46">
        <f>Tulud!$D$17</f>
        <v>553005</v>
      </c>
      <c r="E4" s="10">
        <f t="shared" ref="E4:E8" si="1">D4-C4</f>
        <v>103005</v>
      </c>
      <c r="F4" s="10">
        <f>E4*100/D4</f>
        <v>18.626413866059078</v>
      </c>
      <c r="H4" s="26" t="s">
        <v>4</v>
      </c>
      <c r="I4" s="1">
        <f>$D$4</f>
        <v>553005</v>
      </c>
    </row>
    <row r="5" spans="1:9" x14ac:dyDescent="0.25">
      <c r="A5" s="19">
        <v>3</v>
      </c>
      <c r="B5" s="24" t="s">
        <v>5</v>
      </c>
      <c r="C5" s="46">
        <f>Tulud!$C$19</f>
        <v>600000</v>
      </c>
      <c r="D5" s="46">
        <f>Tulud!$D$19</f>
        <v>617127</v>
      </c>
      <c r="E5" s="10">
        <f t="shared" si="1"/>
        <v>17127</v>
      </c>
      <c r="F5" s="10">
        <f t="shared" ref="F5:F22" si="2">E5*100/D5</f>
        <v>2.7752796426019279</v>
      </c>
      <c r="H5" s="26" t="s">
        <v>5</v>
      </c>
      <c r="I5" s="1">
        <f>$D$5</f>
        <v>617127</v>
      </c>
    </row>
    <row r="6" spans="1:9" x14ac:dyDescent="0.25">
      <c r="A6" s="19">
        <v>4</v>
      </c>
      <c r="B6" s="24" t="s">
        <v>6</v>
      </c>
      <c r="C6" s="46">
        <f>Tulud!$C$21</f>
        <v>182000</v>
      </c>
      <c r="D6" s="46">
        <f>Tulud!$D$21</f>
        <v>88060</v>
      </c>
      <c r="E6" s="10">
        <f t="shared" si="1"/>
        <v>-93940</v>
      </c>
      <c r="F6" s="10">
        <f t="shared" si="2"/>
        <v>-106.67726550079492</v>
      </c>
      <c r="H6" s="26" t="s">
        <v>98</v>
      </c>
      <c r="I6" s="1">
        <f>$D$6</f>
        <v>88060</v>
      </c>
    </row>
    <row r="7" spans="1:9" x14ac:dyDescent="0.25">
      <c r="A7" s="19"/>
      <c r="B7" s="19"/>
      <c r="C7" s="23"/>
      <c r="D7" s="56"/>
      <c r="E7" s="10">
        <f t="shared" si="1"/>
        <v>0</v>
      </c>
      <c r="F7" s="10"/>
    </row>
    <row r="8" spans="1:9" x14ac:dyDescent="0.25">
      <c r="A8" s="19"/>
      <c r="B8" s="22" t="s">
        <v>8</v>
      </c>
      <c r="C8" s="47">
        <f>C3+C4+C5+C6</f>
        <v>14924520.93</v>
      </c>
      <c r="D8" s="46">
        <f>D3+D4+D5+D6</f>
        <v>14822649.43</v>
      </c>
      <c r="E8" s="10">
        <f t="shared" si="1"/>
        <v>-101871.5</v>
      </c>
      <c r="F8" s="10">
        <f t="shared" si="2"/>
        <v>-0.68726917195936144</v>
      </c>
    </row>
    <row r="9" spans="1:9" x14ac:dyDescent="0.25">
      <c r="C9" s="1"/>
      <c r="D9" s="8"/>
      <c r="E9" s="8"/>
      <c r="F9" s="8"/>
    </row>
    <row r="10" spans="1:9" x14ac:dyDescent="0.25">
      <c r="C10" s="1"/>
      <c r="D10" s="8"/>
      <c r="E10" s="8"/>
      <c r="F10" s="8"/>
    </row>
    <row r="11" spans="1:9" x14ac:dyDescent="0.25">
      <c r="C11" s="1"/>
      <c r="D11" s="8"/>
      <c r="E11" s="8"/>
      <c r="F11" s="8"/>
    </row>
    <row r="12" spans="1:9" x14ac:dyDescent="0.25">
      <c r="A12" s="19" t="s">
        <v>11</v>
      </c>
      <c r="B12" s="19"/>
      <c r="C12" s="20">
        <v>2023</v>
      </c>
      <c r="D12" s="55" t="s">
        <v>296</v>
      </c>
      <c r="E12" s="10" t="s">
        <v>45</v>
      </c>
      <c r="F12" s="10" t="s">
        <v>46</v>
      </c>
    </row>
    <row r="13" spans="1:9" x14ac:dyDescent="0.25">
      <c r="A13" s="22">
        <v>1</v>
      </c>
      <c r="B13" s="24" t="s">
        <v>40</v>
      </c>
      <c r="C13" s="46">
        <f>Kulud!$C$3</f>
        <v>8108521</v>
      </c>
      <c r="D13" s="46">
        <f>Kulud!$D$3</f>
        <v>8076855</v>
      </c>
      <c r="E13" s="10">
        <f>D13-C13</f>
        <v>-31666</v>
      </c>
      <c r="F13" s="10">
        <f t="shared" si="2"/>
        <v>-0.39205854258866851</v>
      </c>
    </row>
    <row r="14" spans="1:9" x14ac:dyDescent="0.25">
      <c r="A14" s="22">
        <v>2</v>
      </c>
      <c r="B14" s="24" t="s">
        <v>41</v>
      </c>
      <c r="C14" s="46">
        <f>Kulud!$C$28</f>
        <v>528000</v>
      </c>
      <c r="D14" s="46">
        <f>Kulud!$D$28</f>
        <v>330556</v>
      </c>
      <c r="E14" s="10">
        <f t="shared" ref="E14:E22" si="3">D14-C14</f>
        <v>-197444</v>
      </c>
      <c r="F14" s="10">
        <f t="shared" si="2"/>
        <v>-59.730877672769516</v>
      </c>
    </row>
    <row r="15" spans="1:9" x14ac:dyDescent="0.25">
      <c r="A15" s="22">
        <v>3</v>
      </c>
      <c r="B15" s="24" t="s">
        <v>15</v>
      </c>
      <c r="C15" s="46">
        <f>Kulud!$C$37</f>
        <v>185000</v>
      </c>
      <c r="D15" s="46">
        <f>Kulud!$D$37</f>
        <v>138794</v>
      </c>
      <c r="E15" s="10">
        <f t="shared" si="3"/>
        <v>-46206</v>
      </c>
      <c r="F15" s="10">
        <f t="shared" si="2"/>
        <v>-33.291064455235819</v>
      </c>
      <c r="H15" s="2" t="s">
        <v>40</v>
      </c>
      <c r="I15" s="1">
        <f>$D$13</f>
        <v>8076855</v>
      </c>
    </row>
    <row r="16" spans="1:9" x14ac:dyDescent="0.25">
      <c r="A16" s="22">
        <v>4</v>
      </c>
      <c r="B16" s="24" t="s">
        <v>42</v>
      </c>
      <c r="C16" s="46">
        <f>Kulud!$C$43</f>
        <v>50000</v>
      </c>
      <c r="D16" s="46">
        <f>Kulud!$D$43</f>
        <v>75435</v>
      </c>
      <c r="E16" s="10">
        <f t="shared" si="3"/>
        <v>25435</v>
      </c>
      <c r="F16" s="10">
        <f t="shared" si="2"/>
        <v>33.717770265791742</v>
      </c>
      <c r="H16" s="2" t="s">
        <v>41</v>
      </c>
      <c r="I16" s="1">
        <f t="shared" ref="I16:I22" si="4">D14</f>
        <v>330556</v>
      </c>
    </row>
    <row r="17" spans="1:9" x14ac:dyDescent="0.25">
      <c r="A17" s="22">
        <v>5</v>
      </c>
      <c r="B17" s="24" t="s">
        <v>43</v>
      </c>
      <c r="C17" s="46">
        <f>Kulud!$C$56</f>
        <v>85000</v>
      </c>
      <c r="D17" s="46">
        <f>Kulud!$D$56</f>
        <v>128538.94</v>
      </c>
      <c r="E17" s="10">
        <f t="shared" si="3"/>
        <v>43538.94</v>
      </c>
      <c r="F17" s="10">
        <f t="shared" si="2"/>
        <v>33.872179123306914</v>
      </c>
      <c r="H17" s="2" t="s">
        <v>15</v>
      </c>
      <c r="I17" s="1">
        <f t="shared" si="4"/>
        <v>138794</v>
      </c>
    </row>
    <row r="18" spans="1:9" x14ac:dyDescent="0.25">
      <c r="A18" s="22">
        <v>6</v>
      </c>
      <c r="B18" s="24" t="s">
        <v>50</v>
      </c>
      <c r="C18" s="46">
        <f>Kulud!$C$68</f>
        <v>4618000</v>
      </c>
      <c r="D18" s="46">
        <f>Kulud!$D$68</f>
        <v>4755890</v>
      </c>
      <c r="E18" s="10">
        <f t="shared" si="3"/>
        <v>137890</v>
      </c>
      <c r="F18" s="10">
        <f t="shared" si="2"/>
        <v>2.8993521717281099</v>
      </c>
      <c r="H18" s="2" t="s">
        <v>42</v>
      </c>
      <c r="I18" s="1">
        <f t="shared" si="4"/>
        <v>75435</v>
      </c>
    </row>
    <row r="19" spans="1:9" x14ac:dyDescent="0.25">
      <c r="A19" s="22">
        <v>7</v>
      </c>
      <c r="B19" s="24" t="s">
        <v>23</v>
      </c>
      <c r="C19" s="46">
        <f>Kulud!$C$72</f>
        <v>465000</v>
      </c>
      <c r="D19" s="46">
        <f>Kulud!$D$72</f>
        <v>554082</v>
      </c>
      <c r="E19" s="10">
        <f t="shared" si="3"/>
        <v>89082</v>
      </c>
      <c r="F19" s="10">
        <f t="shared" si="2"/>
        <v>16.077403705588704</v>
      </c>
      <c r="H19" s="2" t="s">
        <v>43</v>
      </c>
      <c r="I19" s="1">
        <f t="shared" si="4"/>
        <v>128538.94</v>
      </c>
    </row>
    <row r="20" spans="1:9" x14ac:dyDescent="0.25">
      <c r="A20" s="22">
        <v>8</v>
      </c>
      <c r="B20" s="24" t="s">
        <v>44</v>
      </c>
      <c r="C20" s="46">
        <f>Kulud!$C$83</f>
        <v>885000</v>
      </c>
      <c r="D20" s="46">
        <f>Kulud!$D$83</f>
        <v>876717.62</v>
      </c>
      <c r="E20" s="10">
        <f t="shared" si="3"/>
        <v>-8282.3800000000047</v>
      </c>
      <c r="F20" s="10">
        <f t="shared" si="2"/>
        <v>-0.94470326717056341</v>
      </c>
      <c r="H20" s="2" t="s">
        <v>50</v>
      </c>
      <c r="I20" s="1">
        <f t="shared" si="4"/>
        <v>4755890</v>
      </c>
    </row>
    <row r="21" spans="1:9" x14ac:dyDescent="0.25">
      <c r="A21" s="22"/>
      <c r="B21" s="22"/>
      <c r="C21" s="23"/>
      <c r="D21" s="46"/>
      <c r="E21" s="10"/>
      <c r="F21" s="10"/>
      <c r="H21" s="2" t="s">
        <v>23</v>
      </c>
      <c r="I21" s="1">
        <f t="shared" si="4"/>
        <v>554082</v>
      </c>
    </row>
    <row r="22" spans="1:9" x14ac:dyDescent="0.25">
      <c r="A22" s="19"/>
      <c r="B22" s="22" t="s">
        <v>8</v>
      </c>
      <c r="C22" s="47">
        <f>SUM(C14:C21)+C13</f>
        <v>14924521</v>
      </c>
      <c r="D22" s="46">
        <f>SUM(D13:D21)</f>
        <v>14936868.559999999</v>
      </c>
      <c r="E22" s="10">
        <f t="shared" si="3"/>
        <v>12347.559999998659</v>
      </c>
      <c r="F22" s="10">
        <f t="shared" si="2"/>
        <v>8.2664983965010264E-2</v>
      </c>
      <c r="H22" s="2" t="s">
        <v>44</v>
      </c>
      <c r="I22" s="1">
        <f t="shared" si="4"/>
        <v>876717.62</v>
      </c>
    </row>
    <row r="23" spans="1:9" x14ac:dyDescent="0.25">
      <c r="C23" s="1"/>
      <c r="D23" s="1"/>
      <c r="E23" s="8"/>
      <c r="F23" s="8"/>
      <c r="G23" t="s">
        <v>55</v>
      </c>
    </row>
    <row r="24" spans="1:9" ht="15.75" x14ac:dyDescent="0.25">
      <c r="B24" s="2"/>
      <c r="D24" s="12">
        <f>D8-D22</f>
        <v>-114219.12999999896</v>
      </c>
      <c r="E24" s="13"/>
      <c r="F24" s="13"/>
    </row>
    <row r="25" spans="1:9" ht="15.75" x14ac:dyDescent="0.25">
      <c r="C25" s="18"/>
      <c r="D25" s="18"/>
      <c r="F25" s="8"/>
    </row>
    <row r="26" spans="1:9" x14ac:dyDescent="0.25">
      <c r="F26" s="8"/>
    </row>
    <row r="27" spans="1:9" x14ac:dyDescent="0.25">
      <c r="F27" s="8"/>
    </row>
  </sheetData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6"/>
  <sheetViews>
    <sheetView zoomScale="120" zoomScaleNormal="120" workbookViewId="0">
      <selection activeCell="D9" sqref="D9"/>
    </sheetView>
  </sheetViews>
  <sheetFormatPr defaultRowHeight="15" x14ac:dyDescent="0.25"/>
  <cols>
    <col min="1" max="1" width="6.5703125" customWidth="1"/>
    <col min="2" max="2" width="24" customWidth="1"/>
    <col min="3" max="4" width="12" style="48" customWidth="1"/>
    <col min="5" max="5" width="11.140625" style="4" customWidth="1"/>
    <col min="6" max="6" width="9.42578125" style="4" customWidth="1"/>
    <col min="11" max="11" width="10.28515625" customWidth="1"/>
  </cols>
  <sheetData>
    <row r="1" spans="1:11" ht="27.75" customHeight="1" x14ac:dyDescent="0.25">
      <c r="A1" t="s">
        <v>0</v>
      </c>
      <c r="C1" s="45">
        <v>2023</v>
      </c>
      <c r="D1" s="138" t="s">
        <v>290</v>
      </c>
      <c r="E1" s="5" t="s">
        <v>9</v>
      </c>
      <c r="F1" s="5" t="s">
        <v>10</v>
      </c>
    </row>
    <row r="2" spans="1:11" x14ac:dyDescent="0.25">
      <c r="A2">
        <v>1</v>
      </c>
      <c r="B2" s="16" t="s">
        <v>1</v>
      </c>
      <c r="C2" s="46">
        <f>C3+C4+C5+C6+C7+C8+C9+C10+C11+C12+C13+C15</f>
        <v>13692520.93</v>
      </c>
      <c r="D2" s="46">
        <f>D3+D4+D5+D6+D7+D8+D9+D10+D11+D12+D13+D15</f>
        <v>13564457.43</v>
      </c>
      <c r="E2" s="10">
        <f>D2-C2</f>
        <v>-128063.5</v>
      </c>
      <c r="F2" s="11">
        <f>E2*100/C2</f>
        <v>-0.93528065908897617</v>
      </c>
    </row>
    <row r="3" spans="1:11" x14ac:dyDescent="0.25">
      <c r="B3" s="7" t="s">
        <v>2</v>
      </c>
      <c r="C3" s="47">
        <v>190000</v>
      </c>
      <c r="D3" s="47">
        <v>190000</v>
      </c>
      <c r="E3" s="10">
        <f t="shared" ref="E3:E25" si="0">D3-C3</f>
        <v>0</v>
      </c>
      <c r="F3" s="11">
        <f t="shared" ref="F3:F25" si="1">E3*100/C3</f>
        <v>0</v>
      </c>
    </row>
    <row r="4" spans="1:11" x14ac:dyDescent="0.25">
      <c r="B4" s="7" t="s">
        <v>102</v>
      </c>
      <c r="C4" s="47">
        <f>237358+270000</f>
        <v>507358</v>
      </c>
      <c r="D4" s="47">
        <f>237357+270000</f>
        <v>507357</v>
      </c>
      <c r="E4" s="10">
        <f t="shared" si="0"/>
        <v>-1</v>
      </c>
      <c r="F4" s="11">
        <f t="shared" si="1"/>
        <v>-1.9709948399355092E-4</v>
      </c>
    </row>
    <row r="5" spans="1:11" x14ac:dyDescent="0.25">
      <c r="B5" s="7" t="s">
        <v>3</v>
      </c>
      <c r="C5" s="47">
        <v>1400000</v>
      </c>
      <c r="D5" s="47">
        <v>1400000</v>
      </c>
      <c r="E5" s="10">
        <f t="shared" si="0"/>
        <v>0</v>
      </c>
      <c r="F5" s="11">
        <f t="shared" si="1"/>
        <v>0</v>
      </c>
    </row>
    <row r="6" spans="1:11" x14ac:dyDescent="0.25">
      <c r="B6" s="7" t="s">
        <v>72</v>
      </c>
      <c r="C6" s="47">
        <v>1700000</v>
      </c>
      <c r="D6" s="47">
        <v>1700000</v>
      </c>
      <c r="E6" s="10">
        <f t="shared" si="0"/>
        <v>0</v>
      </c>
      <c r="F6" s="11">
        <f t="shared" si="1"/>
        <v>0</v>
      </c>
    </row>
    <row r="7" spans="1:11" x14ac:dyDescent="0.25">
      <c r="B7" s="7" t="s">
        <v>73</v>
      </c>
      <c r="C7" s="47">
        <v>2461000</v>
      </c>
      <c r="D7" s="47">
        <v>2461000</v>
      </c>
      <c r="E7" s="10">
        <f t="shared" si="0"/>
        <v>0</v>
      </c>
      <c r="F7" s="11">
        <f t="shared" si="1"/>
        <v>0</v>
      </c>
    </row>
    <row r="8" spans="1:11" x14ac:dyDescent="0.25">
      <c r="B8" s="7" t="s">
        <v>74</v>
      </c>
      <c r="C8" s="47">
        <v>445000</v>
      </c>
      <c r="D8" s="47">
        <v>445000</v>
      </c>
      <c r="E8" s="10">
        <f t="shared" si="0"/>
        <v>0</v>
      </c>
      <c r="F8" s="11">
        <f t="shared" si="1"/>
        <v>0</v>
      </c>
      <c r="K8" s="44"/>
    </row>
    <row r="9" spans="1:11" x14ac:dyDescent="0.25">
      <c r="B9" s="7" t="s">
        <v>85</v>
      </c>
      <c r="C9" s="47">
        <v>3803856</v>
      </c>
      <c r="D9" s="47">
        <v>3803856</v>
      </c>
      <c r="E9" s="10">
        <f t="shared" si="0"/>
        <v>0</v>
      </c>
      <c r="F9" s="11">
        <f t="shared" si="1"/>
        <v>0</v>
      </c>
      <c r="K9" s="44"/>
    </row>
    <row r="10" spans="1:11" x14ac:dyDescent="0.25">
      <c r="B10" s="7" t="s">
        <v>75</v>
      </c>
      <c r="C10" s="47">
        <v>0</v>
      </c>
      <c r="D10" s="47">
        <v>0</v>
      </c>
      <c r="E10" s="10">
        <f t="shared" si="0"/>
        <v>0</v>
      </c>
      <c r="F10" s="11" t="e">
        <f t="shared" si="1"/>
        <v>#DIV/0!</v>
      </c>
      <c r="J10" s="26"/>
      <c r="K10" s="44"/>
    </row>
    <row r="11" spans="1:11" x14ac:dyDescent="0.25">
      <c r="B11" s="7" t="s">
        <v>34</v>
      </c>
      <c r="C11" s="47">
        <v>300000</v>
      </c>
      <c r="D11" s="47">
        <v>150937.5</v>
      </c>
      <c r="E11" s="10">
        <f t="shared" si="0"/>
        <v>-149062.5</v>
      </c>
      <c r="F11" s="11">
        <f t="shared" si="1"/>
        <v>-49.6875</v>
      </c>
      <c r="I11" s="25"/>
      <c r="K11" s="44"/>
    </row>
    <row r="12" spans="1:11" x14ac:dyDescent="0.25">
      <c r="B12" s="7" t="s">
        <v>15</v>
      </c>
      <c r="C12" s="47">
        <v>0</v>
      </c>
      <c r="D12" s="47">
        <v>0</v>
      </c>
      <c r="E12" s="10">
        <f t="shared" si="0"/>
        <v>0</v>
      </c>
      <c r="F12" s="11"/>
      <c r="I12" s="25"/>
      <c r="K12" s="44"/>
    </row>
    <row r="13" spans="1:11" x14ac:dyDescent="0.25">
      <c r="B13" s="7" t="s">
        <v>295</v>
      </c>
      <c r="C13" s="47">
        <v>0</v>
      </c>
      <c r="D13" s="47">
        <v>21000</v>
      </c>
      <c r="E13" s="10">
        <f t="shared" si="0"/>
        <v>21000</v>
      </c>
      <c r="F13" s="11"/>
      <c r="I13" s="25"/>
    </row>
    <row r="14" spans="1:11" x14ac:dyDescent="0.25">
      <c r="B14" s="3"/>
      <c r="E14" s="10"/>
      <c r="F14" s="11"/>
      <c r="I14" s="25"/>
    </row>
    <row r="15" spans="1:11" x14ac:dyDescent="0.25">
      <c r="B15" s="3" t="s">
        <v>94</v>
      </c>
      <c r="C15" s="47">
        <v>2885306.93</v>
      </c>
      <c r="D15" s="47">
        <v>2885306.93</v>
      </c>
      <c r="E15" s="10">
        <f t="shared" si="0"/>
        <v>0</v>
      </c>
      <c r="F15" s="11">
        <f t="shared" si="1"/>
        <v>0</v>
      </c>
    </row>
    <row r="16" spans="1:11" x14ac:dyDescent="0.25">
      <c r="B16" s="3"/>
      <c r="C16" s="44"/>
      <c r="D16" s="44"/>
      <c r="E16" s="10"/>
      <c r="F16" s="11"/>
    </row>
    <row r="17" spans="1:6" x14ac:dyDescent="0.25">
      <c r="A17">
        <v>2</v>
      </c>
      <c r="B17" s="16" t="s">
        <v>4</v>
      </c>
      <c r="C17" s="49">
        <v>450000</v>
      </c>
      <c r="D17" s="49">
        <f>336309+216696</f>
        <v>553005</v>
      </c>
      <c r="E17" s="10">
        <f t="shared" si="0"/>
        <v>103005</v>
      </c>
      <c r="F17" s="11">
        <f t="shared" si="1"/>
        <v>22.89</v>
      </c>
    </row>
    <row r="18" spans="1:6" x14ac:dyDescent="0.25">
      <c r="C18" s="50"/>
      <c r="D18" s="50"/>
      <c r="E18" s="10"/>
      <c r="F18" s="11"/>
    </row>
    <row r="19" spans="1:6" x14ac:dyDescent="0.25">
      <c r="A19">
        <v>3</v>
      </c>
      <c r="B19" s="16" t="s">
        <v>5</v>
      </c>
      <c r="C19" s="49">
        <v>600000</v>
      </c>
      <c r="D19" s="49">
        <f>833823-216696</f>
        <v>617127</v>
      </c>
      <c r="E19" s="10">
        <f t="shared" si="0"/>
        <v>17127</v>
      </c>
      <c r="F19" s="11">
        <f t="shared" si="1"/>
        <v>2.8544999999999998</v>
      </c>
    </row>
    <row r="20" spans="1:6" x14ac:dyDescent="0.25">
      <c r="B20" s="3"/>
      <c r="C20" s="44"/>
      <c r="D20" s="44"/>
      <c r="E20" s="10"/>
      <c r="F20" s="11"/>
    </row>
    <row r="21" spans="1:6" x14ac:dyDescent="0.25">
      <c r="A21">
        <v>4</v>
      </c>
      <c r="B21" s="16" t="s">
        <v>6</v>
      </c>
      <c r="C21" s="46">
        <f>C23+C22</f>
        <v>182000</v>
      </c>
      <c r="D21" s="46">
        <f>D23+D22</f>
        <v>88060</v>
      </c>
      <c r="E21" s="10">
        <f t="shared" si="0"/>
        <v>-93940</v>
      </c>
      <c r="F21" s="11">
        <f t="shared" si="1"/>
        <v>-51.615384615384613</v>
      </c>
    </row>
    <row r="22" spans="1:6" x14ac:dyDescent="0.25">
      <c r="B22" s="3" t="s">
        <v>7</v>
      </c>
      <c r="C22" s="51">
        <v>32000</v>
      </c>
      <c r="D22" s="51">
        <v>26766</v>
      </c>
      <c r="E22" s="10">
        <f t="shared" si="0"/>
        <v>-5234</v>
      </c>
      <c r="F22" s="11">
        <f t="shared" si="1"/>
        <v>-16.356249999999999</v>
      </c>
    </row>
    <row r="23" spans="1:6" x14ac:dyDescent="0.25">
      <c r="B23" s="3" t="s">
        <v>47</v>
      </c>
      <c r="C23" s="51">
        <v>150000</v>
      </c>
      <c r="D23" s="51">
        <v>61294</v>
      </c>
      <c r="E23" s="10">
        <f t="shared" si="0"/>
        <v>-88706</v>
      </c>
      <c r="F23" s="11">
        <f t="shared" si="1"/>
        <v>-59.137333333333331</v>
      </c>
    </row>
    <row r="24" spans="1:6" x14ac:dyDescent="0.25">
      <c r="B24" s="3"/>
      <c r="E24" s="10"/>
      <c r="F24" s="11"/>
    </row>
    <row r="25" spans="1:6" x14ac:dyDescent="0.25">
      <c r="B25" s="2" t="s">
        <v>8</v>
      </c>
      <c r="C25" s="46">
        <f>C2+C17+C19+C21</f>
        <v>14924520.93</v>
      </c>
      <c r="D25" s="46">
        <f>D2+D17+D19+D21</f>
        <v>14822649.43</v>
      </c>
      <c r="E25" s="10">
        <f t="shared" si="0"/>
        <v>-101871.5</v>
      </c>
      <c r="F25" s="11">
        <f t="shared" si="1"/>
        <v>-0.68257802362839393</v>
      </c>
    </row>
    <row r="26" spans="1:6" x14ac:dyDescent="0.25">
      <c r="F26" s="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00"/>
  <sheetViews>
    <sheetView topLeftCell="A81" zoomScale="120" zoomScaleNormal="120" workbookViewId="0">
      <selection activeCell="B113" sqref="B113"/>
    </sheetView>
  </sheetViews>
  <sheetFormatPr defaultRowHeight="15" x14ac:dyDescent="0.25"/>
  <cols>
    <col min="1" max="1" width="6.85546875" customWidth="1"/>
    <col min="2" max="2" width="40.85546875" customWidth="1"/>
    <col min="3" max="4" width="13.42578125" style="4" customWidth="1"/>
    <col min="5" max="5" width="10.7109375" style="4" customWidth="1"/>
    <col min="6" max="6" width="9.140625" style="4"/>
    <col min="8" max="8" width="3.5703125" customWidth="1"/>
    <col min="9" max="9" width="21.7109375" customWidth="1"/>
    <col min="10" max="10" width="12.28515625" customWidth="1"/>
  </cols>
  <sheetData>
    <row r="1" spans="1:10" ht="30.75" customHeight="1" x14ac:dyDescent="0.25">
      <c r="A1" s="4" t="s">
        <v>11</v>
      </c>
      <c r="C1" s="34">
        <v>2023</v>
      </c>
      <c r="D1" s="139" t="s">
        <v>290</v>
      </c>
      <c r="E1" s="5" t="s">
        <v>9</v>
      </c>
      <c r="F1" s="5" t="s">
        <v>33</v>
      </c>
    </row>
    <row r="2" spans="1:10" ht="7.5" customHeight="1" x14ac:dyDescent="0.25">
      <c r="A2" s="3"/>
      <c r="C2" s="35"/>
      <c r="D2" s="35"/>
    </row>
    <row r="3" spans="1:10" x14ac:dyDescent="0.25">
      <c r="A3" s="6" t="s">
        <v>12</v>
      </c>
      <c r="B3" s="28" t="s">
        <v>13</v>
      </c>
      <c r="C3" s="36">
        <f>C26+C25+C14++C4</f>
        <v>8108521</v>
      </c>
      <c r="D3" s="36">
        <f>D26+D25+D14+D4</f>
        <v>8076855</v>
      </c>
      <c r="E3" s="8">
        <f t="shared" ref="E3:E5" si="0">D3-C3</f>
        <v>-31666</v>
      </c>
      <c r="F3" s="9">
        <f t="shared" ref="F3:F5" si="1">E3*100/C3</f>
        <v>-0.39052744637400583</v>
      </c>
    </row>
    <row r="4" spans="1:10" x14ac:dyDescent="0.25">
      <c r="A4" s="6"/>
      <c r="B4" s="31" t="s">
        <v>101</v>
      </c>
      <c r="C4" s="37">
        <f>C5+C6+C7+C8+C9+C10+C11+C12+C13</f>
        <v>7718521</v>
      </c>
      <c r="D4" s="37">
        <f>D5+D6+D7+D8+D9+D10+D11+D12+D13</f>
        <v>7774082</v>
      </c>
      <c r="E4" s="8">
        <f t="shared" si="0"/>
        <v>55561</v>
      </c>
      <c r="F4" s="9">
        <f t="shared" si="1"/>
        <v>0.71983997970595659</v>
      </c>
    </row>
    <row r="5" spans="1:10" x14ac:dyDescent="0.25">
      <c r="A5" s="3"/>
      <c r="B5" s="57" t="s">
        <v>77</v>
      </c>
      <c r="C5" s="53">
        <v>2885306</v>
      </c>
      <c r="D5" s="53">
        <f>2197240+459100+153000+119760</f>
        <v>2929100</v>
      </c>
      <c r="E5" s="8">
        <f t="shared" si="0"/>
        <v>43794</v>
      </c>
      <c r="F5" s="9">
        <f t="shared" si="1"/>
        <v>1.5178286115926698</v>
      </c>
      <c r="J5" s="1"/>
    </row>
    <row r="6" spans="1:10" x14ac:dyDescent="0.25">
      <c r="A6" s="3"/>
      <c r="B6" s="27" t="s">
        <v>48</v>
      </c>
      <c r="C6" s="53">
        <v>900000</v>
      </c>
      <c r="D6" s="53">
        <v>796400</v>
      </c>
      <c r="E6" s="8">
        <f>D6-C6</f>
        <v>-103600</v>
      </c>
      <c r="F6" s="9">
        <f>E6*100/C6</f>
        <v>-11.511111111111111</v>
      </c>
      <c r="J6" s="1"/>
    </row>
    <row r="7" spans="1:10" x14ac:dyDescent="0.25">
      <c r="A7" s="3"/>
      <c r="B7" s="27" t="s">
        <v>100</v>
      </c>
      <c r="C7" s="53">
        <v>180000</v>
      </c>
      <c r="D7" s="53">
        <v>180000</v>
      </c>
      <c r="E7" s="8">
        <f t="shared" ref="E7:E12" si="2">D7-C7</f>
        <v>0</v>
      </c>
      <c r="F7" s="9">
        <f t="shared" ref="F7:F39" si="3">E7*100/C7</f>
        <v>0</v>
      </c>
      <c r="J7" s="1"/>
    </row>
    <row r="8" spans="1:10" x14ac:dyDescent="0.25">
      <c r="A8" s="3"/>
      <c r="B8" s="27" t="s">
        <v>76</v>
      </c>
      <c r="C8" s="39">
        <f>2712215-1170000</f>
        <v>1542215</v>
      </c>
      <c r="D8" s="39">
        <v>1580500</v>
      </c>
      <c r="E8" s="8">
        <f t="shared" si="2"/>
        <v>38285</v>
      </c>
      <c r="F8" s="9">
        <f t="shared" si="3"/>
        <v>2.4824683977266466</v>
      </c>
      <c r="I8" s="1"/>
      <c r="J8" s="1"/>
    </row>
    <row r="9" spans="1:10" x14ac:dyDescent="0.25">
      <c r="A9" s="3"/>
      <c r="B9" s="27" t="s">
        <v>86</v>
      </c>
      <c r="C9" s="39">
        <v>816000</v>
      </c>
      <c r="D9" s="39">
        <v>882788</v>
      </c>
      <c r="E9" s="8">
        <f t="shared" si="2"/>
        <v>66788</v>
      </c>
      <c r="F9" s="9">
        <f t="shared" si="3"/>
        <v>8.1848039215686281</v>
      </c>
      <c r="I9" s="1"/>
      <c r="J9" s="1"/>
    </row>
    <row r="10" spans="1:10" x14ac:dyDescent="0.25">
      <c r="A10" s="3"/>
      <c r="B10" s="32" t="s">
        <v>97</v>
      </c>
      <c r="C10" s="39">
        <v>150000</v>
      </c>
      <c r="D10" s="39">
        <v>192500</v>
      </c>
      <c r="E10" s="8">
        <f t="shared" si="2"/>
        <v>42500</v>
      </c>
      <c r="F10" s="9">
        <f t="shared" si="3"/>
        <v>28.333333333333332</v>
      </c>
      <c r="I10" s="1"/>
    </row>
    <row r="11" spans="1:10" x14ac:dyDescent="0.25">
      <c r="A11" s="3"/>
      <c r="B11" s="32" t="s">
        <v>88</v>
      </c>
      <c r="C11" s="39">
        <v>75000</v>
      </c>
      <c r="D11" s="39">
        <v>132307</v>
      </c>
      <c r="E11" s="8">
        <f t="shared" si="2"/>
        <v>57307</v>
      </c>
      <c r="F11" s="9">
        <f t="shared" si="3"/>
        <v>76.409333333333336</v>
      </c>
      <c r="I11" s="1"/>
    </row>
    <row r="12" spans="1:10" x14ac:dyDescent="0.25">
      <c r="A12" s="3"/>
      <c r="B12" s="32" t="s">
        <v>95</v>
      </c>
      <c r="C12" s="39">
        <v>900000</v>
      </c>
      <c r="D12" s="39">
        <v>830987</v>
      </c>
      <c r="E12" s="8">
        <f t="shared" si="2"/>
        <v>-69013</v>
      </c>
      <c r="F12" s="9">
        <f t="shared" si="3"/>
        <v>-7.6681111111111111</v>
      </c>
      <c r="I12" s="1"/>
    </row>
    <row r="13" spans="1:10" x14ac:dyDescent="0.25">
      <c r="A13" s="3"/>
      <c r="B13" s="32" t="s">
        <v>96</v>
      </c>
      <c r="C13" s="39">
        <v>270000</v>
      </c>
      <c r="D13" s="39">
        <f>210000+39500</f>
        <v>249500</v>
      </c>
      <c r="E13" s="8">
        <f t="shared" ref="E13:E41" si="4">D13-C13</f>
        <v>-20500</v>
      </c>
      <c r="F13" s="9">
        <f t="shared" si="3"/>
        <v>-7.5925925925925926</v>
      </c>
      <c r="I13" s="1"/>
    </row>
    <row r="14" spans="1:10" x14ac:dyDescent="0.25">
      <c r="A14" s="3"/>
      <c r="B14" s="3" t="s">
        <v>87</v>
      </c>
      <c r="C14" s="54">
        <f>C15+C16+C17+C18+C19</f>
        <v>0</v>
      </c>
      <c r="D14" s="54">
        <f>D15+D16+D17+D18+D19</f>
        <v>0</v>
      </c>
      <c r="E14" s="8">
        <f t="shared" si="4"/>
        <v>0</v>
      </c>
      <c r="F14" s="9" t="e">
        <f t="shared" si="3"/>
        <v>#DIV/0!</v>
      </c>
      <c r="I14" s="1"/>
    </row>
    <row r="15" spans="1:10" x14ac:dyDescent="0.25">
      <c r="A15" s="3"/>
      <c r="B15" s="14" t="s">
        <v>92</v>
      </c>
      <c r="C15" s="38">
        <v>0</v>
      </c>
      <c r="D15" s="38">
        <v>0</v>
      </c>
      <c r="E15" s="8">
        <f t="shared" si="4"/>
        <v>0</v>
      </c>
      <c r="F15" s="9" t="e">
        <f t="shared" si="3"/>
        <v>#DIV/0!</v>
      </c>
      <c r="I15" s="1"/>
    </row>
    <row r="16" spans="1:10" x14ac:dyDescent="0.25">
      <c r="A16" s="3"/>
      <c r="B16" s="14" t="s">
        <v>58</v>
      </c>
      <c r="C16" s="38">
        <v>0</v>
      </c>
      <c r="D16" s="38">
        <v>0</v>
      </c>
      <c r="E16" s="8">
        <f t="shared" si="4"/>
        <v>0</v>
      </c>
      <c r="F16" s="9" t="e">
        <f t="shared" si="3"/>
        <v>#DIV/0!</v>
      </c>
      <c r="I16" s="1"/>
    </row>
    <row r="17" spans="1:9" x14ac:dyDescent="0.25">
      <c r="A17" s="3"/>
      <c r="B17" s="14" t="s">
        <v>59</v>
      </c>
      <c r="C17" s="38">
        <v>0</v>
      </c>
      <c r="D17" s="38">
        <v>0</v>
      </c>
      <c r="E17" s="8">
        <f t="shared" si="4"/>
        <v>0</v>
      </c>
      <c r="F17" s="9" t="e">
        <f t="shared" si="3"/>
        <v>#DIV/0!</v>
      </c>
      <c r="I17" s="1"/>
    </row>
    <row r="18" spans="1:9" x14ac:dyDescent="0.25">
      <c r="A18" s="3"/>
      <c r="B18" s="14" t="s">
        <v>60</v>
      </c>
      <c r="C18" s="38">
        <v>0</v>
      </c>
      <c r="D18" s="38">
        <v>0</v>
      </c>
      <c r="E18" s="8">
        <f t="shared" si="4"/>
        <v>0</v>
      </c>
      <c r="F18" s="9" t="e">
        <f t="shared" si="3"/>
        <v>#DIV/0!</v>
      </c>
      <c r="I18" s="1"/>
    </row>
    <row r="19" spans="1:9" x14ac:dyDescent="0.25">
      <c r="A19" s="3"/>
      <c r="B19" s="14" t="s">
        <v>54</v>
      </c>
      <c r="C19" s="38">
        <v>0</v>
      </c>
      <c r="D19" s="38">
        <v>0</v>
      </c>
      <c r="E19" s="8">
        <f t="shared" si="4"/>
        <v>0</v>
      </c>
      <c r="F19" s="9" t="e">
        <f t="shared" si="3"/>
        <v>#DIV/0!</v>
      </c>
      <c r="I19" s="1"/>
    </row>
    <row r="20" spans="1:9" hidden="1" x14ac:dyDescent="0.25">
      <c r="A20" s="3"/>
      <c r="B20" s="27" t="s">
        <v>54</v>
      </c>
      <c r="C20" s="33"/>
      <c r="D20" s="33"/>
      <c r="E20" s="8">
        <f t="shared" si="4"/>
        <v>0</v>
      </c>
      <c r="F20" s="9" t="e">
        <f t="shared" si="3"/>
        <v>#DIV/0!</v>
      </c>
    </row>
    <row r="21" spans="1:9" hidden="1" x14ac:dyDescent="0.25">
      <c r="A21" s="3"/>
      <c r="B21" s="27" t="s">
        <v>60</v>
      </c>
      <c r="C21" s="33"/>
      <c r="D21" s="33"/>
      <c r="E21" s="8">
        <f t="shared" si="4"/>
        <v>0</v>
      </c>
      <c r="F21" s="9" t="e">
        <f t="shared" si="3"/>
        <v>#DIV/0!</v>
      </c>
    </row>
    <row r="22" spans="1:9" hidden="1" x14ac:dyDescent="0.25">
      <c r="A22" s="3"/>
      <c r="B22" s="27" t="s">
        <v>58</v>
      </c>
      <c r="C22" s="33"/>
      <c r="D22" s="33"/>
      <c r="E22" s="8">
        <f t="shared" si="4"/>
        <v>0</v>
      </c>
      <c r="F22" s="9" t="e">
        <f t="shared" si="3"/>
        <v>#DIV/0!</v>
      </c>
    </row>
    <row r="23" spans="1:9" hidden="1" x14ac:dyDescent="0.25">
      <c r="A23" s="3"/>
      <c r="B23" s="27" t="s">
        <v>80</v>
      </c>
      <c r="C23" s="33"/>
      <c r="D23" s="33"/>
      <c r="E23" s="8">
        <f t="shared" si="4"/>
        <v>0</v>
      </c>
      <c r="F23" s="9" t="e">
        <f t="shared" si="3"/>
        <v>#DIV/0!</v>
      </c>
    </row>
    <row r="24" spans="1:9" hidden="1" x14ac:dyDescent="0.25">
      <c r="A24" s="3"/>
      <c r="B24" s="27" t="s">
        <v>77</v>
      </c>
      <c r="C24" s="33"/>
      <c r="D24" s="33"/>
      <c r="E24" s="8">
        <f t="shared" si="4"/>
        <v>0</v>
      </c>
      <c r="F24" s="9" t="e">
        <f t="shared" si="3"/>
        <v>#DIV/0!</v>
      </c>
    </row>
    <row r="25" spans="1:9" x14ac:dyDescent="0.25">
      <c r="A25" s="3"/>
      <c r="B25" s="58" t="s">
        <v>99</v>
      </c>
      <c r="C25" s="33">
        <v>90000</v>
      </c>
      <c r="D25" s="33">
        <v>151835</v>
      </c>
      <c r="E25" s="8">
        <f t="shared" si="4"/>
        <v>61835</v>
      </c>
      <c r="F25" s="9"/>
    </row>
    <row r="26" spans="1:9" x14ac:dyDescent="0.25">
      <c r="A26" s="3"/>
      <c r="B26" s="3" t="s">
        <v>34</v>
      </c>
      <c r="C26" s="33">
        <v>300000</v>
      </c>
      <c r="D26" s="33">
        <v>150938</v>
      </c>
      <c r="E26" s="8">
        <f t="shared" si="4"/>
        <v>-149062</v>
      </c>
      <c r="F26" s="9">
        <f t="shared" si="3"/>
        <v>-49.687333333333335</v>
      </c>
    </row>
    <row r="27" spans="1:9" ht="9" customHeight="1" x14ac:dyDescent="0.25">
      <c r="A27" s="3"/>
      <c r="C27" s="33"/>
      <c r="D27" s="33"/>
      <c r="E27" s="8"/>
      <c r="F27" s="9"/>
    </row>
    <row r="28" spans="1:9" x14ac:dyDescent="0.25">
      <c r="A28" s="6">
        <v>2</v>
      </c>
      <c r="B28" s="16" t="s">
        <v>14</v>
      </c>
      <c r="C28" s="36">
        <f>C29+C34+C35</f>
        <v>528000</v>
      </c>
      <c r="D28" s="36">
        <f>D29+D34+D35</f>
        <v>330556</v>
      </c>
      <c r="E28" s="52">
        <f t="shared" si="4"/>
        <v>-197444</v>
      </c>
      <c r="F28" s="9">
        <f t="shared" si="3"/>
        <v>-37.394696969696973</v>
      </c>
    </row>
    <row r="29" spans="1:9" x14ac:dyDescent="0.25">
      <c r="A29" s="3"/>
      <c r="B29" s="3" t="s">
        <v>84</v>
      </c>
      <c r="C29" s="33">
        <f>C30+C31+C32+C33</f>
        <v>363000</v>
      </c>
      <c r="D29" s="33">
        <f>D30+D31+D32+D33</f>
        <v>305556</v>
      </c>
      <c r="E29" s="8">
        <f t="shared" si="4"/>
        <v>-57444</v>
      </c>
      <c r="F29" s="9">
        <f t="shared" si="3"/>
        <v>-15.824793388429752</v>
      </c>
    </row>
    <row r="30" spans="1:9" x14ac:dyDescent="0.25">
      <c r="A30" s="3"/>
      <c r="B30" s="27" t="s">
        <v>79</v>
      </c>
      <c r="C30" s="39">
        <v>100000</v>
      </c>
      <c r="D30" s="39">
        <v>133680</v>
      </c>
      <c r="E30" s="8">
        <f t="shared" si="4"/>
        <v>33680</v>
      </c>
      <c r="F30" s="9">
        <f t="shared" si="3"/>
        <v>33.68</v>
      </c>
    </row>
    <row r="31" spans="1:9" x14ac:dyDescent="0.25">
      <c r="A31" s="3"/>
      <c r="B31" s="27" t="s">
        <v>58</v>
      </c>
      <c r="C31" s="39">
        <v>78000</v>
      </c>
      <c r="D31" s="39">
        <v>66655</v>
      </c>
      <c r="E31" s="8">
        <f t="shared" si="4"/>
        <v>-11345</v>
      </c>
      <c r="F31" s="9">
        <f t="shared" si="3"/>
        <v>-14.544871794871796</v>
      </c>
    </row>
    <row r="32" spans="1:9" x14ac:dyDescent="0.25">
      <c r="A32" s="3"/>
      <c r="B32" s="27" t="s">
        <v>60</v>
      </c>
      <c r="C32" s="39">
        <v>120000</v>
      </c>
      <c r="D32" s="39">
        <v>38960</v>
      </c>
      <c r="E32" s="8">
        <f t="shared" si="4"/>
        <v>-81040</v>
      </c>
      <c r="F32" s="9">
        <f t="shared" si="3"/>
        <v>-67.533333333333331</v>
      </c>
    </row>
    <row r="33" spans="1:6" x14ac:dyDescent="0.25">
      <c r="A33" s="3"/>
      <c r="B33" s="27" t="s">
        <v>59</v>
      </c>
      <c r="C33" s="39">
        <v>65000</v>
      </c>
      <c r="D33" s="39">
        <v>66261</v>
      </c>
      <c r="E33" s="8">
        <f t="shared" si="4"/>
        <v>1261</v>
      </c>
      <c r="F33" s="9">
        <f t="shared" si="3"/>
        <v>1.94</v>
      </c>
    </row>
    <row r="34" spans="1:6" x14ac:dyDescent="0.25">
      <c r="A34" s="3"/>
      <c r="B34" s="3" t="s">
        <v>71</v>
      </c>
      <c r="C34" s="33">
        <v>25000</v>
      </c>
      <c r="D34" s="33">
        <v>25000</v>
      </c>
      <c r="E34" s="8">
        <f t="shared" si="4"/>
        <v>0</v>
      </c>
      <c r="F34" s="9">
        <f t="shared" si="3"/>
        <v>0</v>
      </c>
    </row>
    <row r="35" spans="1:6" x14ac:dyDescent="0.25">
      <c r="A35" s="3"/>
      <c r="B35" s="3" t="s">
        <v>90</v>
      </c>
      <c r="C35" s="33">
        <v>140000</v>
      </c>
      <c r="D35" s="33">
        <v>0</v>
      </c>
      <c r="E35" s="8">
        <f t="shared" si="4"/>
        <v>-140000</v>
      </c>
      <c r="F35" s="9">
        <f t="shared" si="3"/>
        <v>-100</v>
      </c>
    </row>
    <row r="36" spans="1:6" ht="8.25" customHeight="1" x14ac:dyDescent="0.25">
      <c r="A36" s="3"/>
      <c r="B36" s="15"/>
      <c r="C36" s="40"/>
      <c r="D36" s="40"/>
      <c r="E36" s="8"/>
      <c r="F36" s="9"/>
    </row>
    <row r="37" spans="1:6" x14ac:dyDescent="0.25">
      <c r="A37" s="6">
        <v>3</v>
      </c>
      <c r="B37" s="16" t="s">
        <v>15</v>
      </c>
      <c r="C37" s="36">
        <f>C38+C39++C40+C41</f>
        <v>185000</v>
      </c>
      <c r="D37" s="36">
        <f>D38+D39++D40+D41</f>
        <v>138794</v>
      </c>
      <c r="E37" s="8">
        <f t="shared" si="4"/>
        <v>-46206</v>
      </c>
      <c r="F37" s="9">
        <f t="shared" si="3"/>
        <v>-24.976216216216216</v>
      </c>
    </row>
    <row r="38" spans="1:6" x14ac:dyDescent="0.25">
      <c r="A38" s="3"/>
      <c r="B38" s="3" t="s">
        <v>16</v>
      </c>
      <c r="C38" s="33">
        <v>50000</v>
      </c>
      <c r="D38" s="33">
        <v>42005</v>
      </c>
      <c r="E38" s="8">
        <f t="shared" si="4"/>
        <v>-7995</v>
      </c>
      <c r="F38" s="9">
        <f t="shared" si="3"/>
        <v>-15.99</v>
      </c>
    </row>
    <row r="39" spans="1:6" x14ac:dyDescent="0.25">
      <c r="A39" s="3"/>
      <c r="B39" s="3" t="s">
        <v>17</v>
      </c>
      <c r="C39" s="33">
        <v>15000</v>
      </c>
      <c r="D39" s="33">
        <v>0</v>
      </c>
      <c r="E39" s="8">
        <f t="shared" si="4"/>
        <v>-15000</v>
      </c>
      <c r="F39" s="9">
        <f t="shared" si="3"/>
        <v>-100</v>
      </c>
    </row>
    <row r="40" spans="1:6" ht="15" customHeight="1" x14ac:dyDescent="0.25">
      <c r="A40" s="3"/>
      <c r="B40" s="3" t="s">
        <v>89</v>
      </c>
      <c r="C40" s="33">
        <v>120000</v>
      </c>
      <c r="D40" s="33">
        <v>66087</v>
      </c>
      <c r="E40" s="8">
        <f t="shared" ref="E40" si="5">D40-C40</f>
        <v>-53913</v>
      </c>
      <c r="F40" s="9">
        <f t="shared" ref="F40:F41" si="6">E40*100/C40</f>
        <v>-44.927500000000002</v>
      </c>
    </row>
    <row r="41" spans="1:6" ht="15" customHeight="1" x14ac:dyDescent="0.25">
      <c r="A41" s="3"/>
      <c r="B41" s="142" t="s">
        <v>198</v>
      </c>
      <c r="C41" s="33">
        <v>0</v>
      </c>
      <c r="D41" s="33">
        <v>30702</v>
      </c>
      <c r="E41" s="8">
        <f t="shared" si="4"/>
        <v>30702</v>
      </c>
      <c r="F41" s="9" t="e">
        <f t="shared" si="6"/>
        <v>#DIV/0!</v>
      </c>
    </row>
    <row r="42" spans="1:6" ht="7.5" customHeight="1" x14ac:dyDescent="0.25">
      <c r="B42" s="3"/>
      <c r="C42" s="33"/>
      <c r="D42" s="33"/>
      <c r="E42" s="8"/>
      <c r="F42" s="9"/>
    </row>
    <row r="43" spans="1:6" ht="15" customHeight="1" x14ac:dyDescent="0.25">
      <c r="A43" s="6">
        <v>4</v>
      </c>
      <c r="B43" s="17" t="s">
        <v>18</v>
      </c>
      <c r="C43" s="36">
        <f>C53+C49+C44</f>
        <v>50000</v>
      </c>
      <c r="D43" s="36">
        <f>D53+D49+D44</f>
        <v>75435</v>
      </c>
      <c r="E43" s="8">
        <f t="shared" ref="E43:E53" si="7">D43-C43</f>
        <v>25435</v>
      </c>
      <c r="F43" s="9">
        <f t="shared" ref="F43:F53" si="8">E43*100/C43</f>
        <v>50.87</v>
      </c>
    </row>
    <row r="44" spans="1:6" ht="15" customHeight="1" x14ac:dyDescent="0.25">
      <c r="A44" s="3"/>
      <c r="B44" s="3" t="s">
        <v>19</v>
      </c>
      <c r="C44" s="33">
        <f>C48+C47+C46+C45</f>
        <v>0</v>
      </c>
      <c r="D44" s="33">
        <f>D48+D47+D46+D45</f>
        <v>0</v>
      </c>
      <c r="E44" s="8">
        <f t="shared" si="7"/>
        <v>0</v>
      </c>
      <c r="F44" s="9" t="e">
        <f t="shared" si="8"/>
        <v>#DIV/0!</v>
      </c>
    </row>
    <row r="45" spans="1:6" hidden="1" x14ac:dyDescent="0.25">
      <c r="A45" s="3"/>
      <c r="B45" s="29" t="s">
        <v>18</v>
      </c>
      <c r="C45" s="41">
        <v>0</v>
      </c>
      <c r="D45" s="41">
        <v>0</v>
      </c>
      <c r="E45" s="8">
        <f t="shared" si="7"/>
        <v>0</v>
      </c>
      <c r="F45" s="9" t="e">
        <f t="shared" si="8"/>
        <v>#DIV/0!</v>
      </c>
    </row>
    <row r="46" spans="1:6" hidden="1" x14ac:dyDescent="0.25">
      <c r="A46" s="3"/>
      <c r="B46" s="29" t="s">
        <v>78</v>
      </c>
      <c r="C46" s="41">
        <v>0</v>
      </c>
      <c r="D46" s="41">
        <v>0</v>
      </c>
      <c r="E46" s="8">
        <f t="shared" si="7"/>
        <v>0</v>
      </c>
      <c r="F46" s="9" t="e">
        <f t="shared" si="8"/>
        <v>#DIV/0!</v>
      </c>
    </row>
    <row r="47" spans="1:6" hidden="1" x14ac:dyDescent="0.25">
      <c r="A47" s="3"/>
      <c r="B47" s="29" t="s">
        <v>36</v>
      </c>
      <c r="C47" s="41">
        <v>0</v>
      </c>
      <c r="D47" s="41">
        <v>0</v>
      </c>
      <c r="E47" s="8">
        <f t="shared" si="7"/>
        <v>0</v>
      </c>
      <c r="F47" s="9" t="e">
        <f t="shared" si="8"/>
        <v>#DIV/0!</v>
      </c>
    </row>
    <row r="48" spans="1:6" hidden="1" x14ac:dyDescent="0.25">
      <c r="A48" s="3"/>
      <c r="B48" s="29" t="s">
        <v>37</v>
      </c>
      <c r="C48" s="41">
        <v>0</v>
      </c>
      <c r="D48" s="41">
        <v>0</v>
      </c>
      <c r="E48" s="8">
        <f t="shared" si="7"/>
        <v>0</v>
      </c>
      <c r="F48" s="9" t="e">
        <f t="shared" si="8"/>
        <v>#DIV/0!</v>
      </c>
    </row>
    <row r="49" spans="1:6" hidden="1" x14ac:dyDescent="0.25">
      <c r="A49" s="3"/>
      <c r="B49" s="3" t="s">
        <v>35</v>
      </c>
      <c r="C49" s="33">
        <v>0</v>
      </c>
      <c r="D49" s="33">
        <v>0</v>
      </c>
      <c r="E49" s="8">
        <f t="shared" si="7"/>
        <v>0</v>
      </c>
      <c r="F49" s="9" t="e">
        <f t="shared" si="8"/>
        <v>#DIV/0!</v>
      </c>
    </row>
    <row r="50" spans="1:6" hidden="1" x14ac:dyDescent="0.25">
      <c r="A50" s="3"/>
      <c r="B50" s="14" t="s">
        <v>63</v>
      </c>
      <c r="C50" s="33"/>
      <c r="D50" s="33"/>
      <c r="E50" s="8">
        <f t="shared" si="7"/>
        <v>0</v>
      </c>
      <c r="F50" s="9" t="e">
        <f t="shared" si="8"/>
        <v>#DIV/0!</v>
      </c>
    </row>
    <row r="51" spans="1:6" hidden="1" x14ac:dyDescent="0.25">
      <c r="A51" s="3"/>
      <c r="B51" s="14" t="s">
        <v>64</v>
      </c>
      <c r="C51" s="33"/>
      <c r="D51" s="33"/>
      <c r="E51" s="8">
        <f t="shared" si="7"/>
        <v>0</v>
      </c>
      <c r="F51" s="9" t="e">
        <f t="shared" si="8"/>
        <v>#DIV/0!</v>
      </c>
    </row>
    <row r="52" spans="1:6" hidden="1" x14ac:dyDescent="0.25">
      <c r="A52" s="3"/>
      <c r="B52" s="14" t="s">
        <v>65</v>
      </c>
      <c r="C52" s="33"/>
      <c r="D52" s="33"/>
      <c r="E52" s="8">
        <f t="shared" si="7"/>
        <v>0</v>
      </c>
      <c r="F52" s="9" t="e">
        <f t="shared" si="8"/>
        <v>#DIV/0!</v>
      </c>
    </row>
    <row r="53" spans="1:6" x14ac:dyDescent="0.25">
      <c r="A53" s="4"/>
      <c r="B53" s="30" t="s">
        <v>91</v>
      </c>
      <c r="C53" s="33">
        <v>50000</v>
      </c>
      <c r="D53" s="33">
        <v>75435</v>
      </c>
      <c r="E53" s="8">
        <f t="shared" si="7"/>
        <v>25435</v>
      </c>
      <c r="F53" s="9">
        <f t="shared" si="8"/>
        <v>50.87</v>
      </c>
    </row>
    <row r="54" spans="1:6" ht="7.5" customHeight="1" x14ac:dyDescent="0.25">
      <c r="B54" s="3"/>
      <c r="C54" s="33"/>
      <c r="D54" s="33"/>
      <c r="E54" s="8"/>
      <c r="F54" s="9"/>
    </row>
    <row r="55" spans="1:6" ht="7.5" customHeight="1" x14ac:dyDescent="0.25">
      <c r="A55" s="4"/>
      <c r="B55" s="30"/>
      <c r="C55" s="33"/>
      <c r="D55" s="33"/>
      <c r="E55" s="8"/>
      <c r="F55" s="9"/>
    </row>
    <row r="56" spans="1:6" x14ac:dyDescent="0.25">
      <c r="A56" s="6">
        <v>5</v>
      </c>
      <c r="B56" s="16" t="s">
        <v>20</v>
      </c>
      <c r="C56" s="36">
        <f>C59+C58+C57</f>
        <v>85000</v>
      </c>
      <c r="D56" s="36">
        <f>D59+D58+D57</f>
        <v>128538.94</v>
      </c>
      <c r="E56" s="8">
        <f>D56-C56</f>
        <v>43538.94</v>
      </c>
      <c r="F56" s="9">
        <f>E56*100/C56</f>
        <v>51.222282352941178</v>
      </c>
    </row>
    <row r="57" spans="1:6" x14ac:dyDescent="0.25">
      <c r="A57" s="3"/>
      <c r="B57" s="3" t="s">
        <v>21</v>
      </c>
      <c r="C57" s="33">
        <v>60000</v>
      </c>
      <c r="D57" s="33">
        <f>85436+2205.56+650.38</f>
        <v>88291.94</v>
      </c>
      <c r="E57" s="8">
        <f>D57-C57</f>
        <v>28291.940000000002</v>
      </c>
      <c r="F57" s="9">
        <f>E57*100/C57</f>
        <v>47.153233333333333</v>
      </c>
    </row>
    <row r="58" spans="1:6" x14ac:dyDescent="0.25">
      <c r="A58" s="3"/>
      <c r="B58" s="3" t="s">
        <v>53</v>
      </c>
      <c r="C58" s="33">
        <v>0</v>
      </c>
      <c r="D58" s="33">
        <v>15247</v>
      </c>
      <c r="E58" s="8">
        <f>D58-C58</f>
        <v>15247</v>
      </c>
      <c r="F58" s="9" t="e">
        <f>E58*100/C58</f>
        <v>#DIV/0!</v>
      </c>
    </row>
    <row r="59" spans="1:6" x14ac:dyDescent="0.25">
      <c r="A59" s="3"/>
      <c r="B59" s="3" t="s">
        <v>62</v>
      </c>
      <c r="C59" s="33">
        <v>25000</v>
      </c>
      <c r="D59" s="33">
        <v>25000</v>
      </c>
      <c r="E59" s="8">
        <f>D59-C59</f>
        <v>0</v>
      </c>
      <c r="F59" s="9">
        <f>E59*100/C59</f>
        <v>0</v>
      </c>
    </row>
    <row r="60" spans="1:6" x14ac:dyDescent="0.25">
      <c r="A60" s="3"/>
      <c r="B60" s="3"/>
      <c r="C60" s="33"/>
      <c r="D60" s="33"/>
      <c r="E60" s="8"/>
      <c r="F60" s="9"/>
    </row>
    <row r="61" spans="1:6" x14ac:dyDescent="0.25">
      <c r="A61" s="3"/>
      <c r="C61" s="34"/>
      <c r="D61" s="34"/>
      <c r="E61" s="8"/>
      <c r="F61" s="9"/>
    </row>
    <row r="62" spans="1:6" x14ac:dyDescent="0.25">
      <c r="A62" s="3"/>
      <c r="C62" s="34"/>
      <c r="D62" s="34"/>
      <c r="E62" s="8"/>
      <c r="F62" s="9"/>
    </row>
    <row r="63" spans="1:6" x14ac:dyDescent="0.25">
      <c r="A63" s="3"/>
      <c r="B63" s="3"/>
      <c r="C63" s="33"/>
      <c r="D63" s="33"/>
      <c r="E63" s="8"/>
      <c r="F63" s="9"/>
    </row>
    <row r="64" spans="1:6" x14ac:dyDescent="0.25">
      <c r="B64" s="3"/>
      <c r="C64" s="33"/>
      <c r="D64" s="33"/>
      <c r="E64" s="8"/>
      <c r="F64" s="9"/>
    </row>
    <row r="65" spans="1:10" x14ac:dyDescent="0.25">
      <c r="A65" s="3"/>
      <c r="B65" s="3"/>
      <c r="C65" s="33"/>
      <c r="D65" s="33"/>
      <c r="E65" s="8"/>
      <c r="F65" s="9"/>
    </row>
    <row r="66" spans="1:10" x14ac:dyDescent="0.25">
      <c r="A66" s="3" t="s">
        <v>11</v>
      </c>
      <c r="B66" s="3"/>
      <c r="C66" s="33"/>
      <c r="D66" s="33"/>
      <c r="E66" s="8"/>
      <c r="F66" s="9"/>
    </row>
    <row r="67" spans="1:10" ht="15" customHeight="1" x14ac:dyDescent="0.25">
      <c r="A67" s="3"/>
      <c r="B67" s="3"/>
      <c r="C67" s="34">
        <v>2023</v>
      </c>
      <c r="D67" s="34">
        <v>2023</v>
      </c>
      <c r="E67" s="52" t="s">
        <v>9</v>
      </c>
      <c r="F67" s="59" t="s">
        <v>10</v>
      </c>
    </row>
    <row r="68" spans="1:10" x14ac:dyDescent="0.25">
      <c r="A68" s="6">
        <v>6</v>
      </c>
      <c r="B68" s="16" t="s">
        <v>49</v>
      </c>
      <c r="C68" s="36">
        <f>C70+C69</f>
        <v>4618000</v>
      </c>
      <c r="D68" s="36">
        <f>D70+D69</f>
        <v>4755890</v>
      </c>
      <c r="E68" s="8">
        <f>D68-C68</f>
        <v>137890</v>
      </c>
      <c r="F68" s="9">
        <f>E68*100/C68</f>
        <v>2.9859246427024688</v>
      </c>
    </row>
    <row r="69" spans="1:10" x14ac:dyDescent="0.25">
      <c r="A69" s="3"/>
      <c r="B69" s="7" t="s">
        <v>22</v>
      </c>
      <c r="C69" s="33">
        <v>12000</v>
      </c>
      <c r="D69" s="33">
        <v>7500</v>
      </c>
      <c r="E69" s="8">
        <f>D69-C69</f>
        <v>-4500</v>
      </c>
      <c r="F69" s="9">
        <f>E69*100/C69</f>
        <v>-37.5</v>
      </c>
    </row>
    <row r="70" spans="1:10" x14ac:dyDescent="0.25">
      <c r="A70" s="3"/>
      <c r="B70" s="7" t="s">
        <v>66</v>
      </c>
      <c r="C70" s="33">
        <v>4606000</v>
      </c>
      <c r="D70" s="33">
        <v>4748390</v>
      </c>
      <c r="E70" s="8">
        <f>D70-C70</f>
        <v>142390</v>
      </c>
      <c r="F70" s="9">
        <f>E70*100/C70</f>
        <v>3.0914025184541902</v>
      </c>
    </row>
    <row r="71" spans="1:10" ht="8.25" customHeight="1" x14ac:dyDescent="0.25">
      <c r="A71" s="3"/>
    </row>
    <row r="72" spans="1:10" x14ac:dyDescent="0.25">
      <c r="A72" s="3">
        <v>7</v>
      </c>
      <c r="B72" s="17" t="s">
        <v>23</v>
      </c>
      <c r="C72" s="37">
        <f>C73+C79+C80+C81</f>
        <v>465000</v>
      </c>
      <c r="D72" s="37">
        <f>D73+D79+D80+D81</f>
        <v>554082</v>
      </c>
      <c r="E72" s="8">
        <f t="shared" ref="E72:E81" si="9">D72-C72</f>
        <v>89082</v>
      </c>
      <c r="F72" s="9">
        <f t="shared" ref="F72:F81" si="10">E72*100/C72</f>
        <v>19.157419354838709</v>
      </c>
    </row>
    <row r="73" spans="1:10" x14ac:dyDescent="0.25">
      <c r="A73" s="3"/>
      <c r="B73" s="6" t="s">
        <v>57</v>
      </c>
      <c r="C73" s="37">
        <f>C74+C75+C76+C77+C78</f>
        <v>148000</v>
      </c>
      <c r="D73" s="37">
        <f>D74+D75+D76+D77+D78</f>
        <v>177685</v>
      </c>
      <c r="E73" s="8">
        <f t="shared" si="9"/>
        <v>29685</v>
      </c>
      <c r="F73" s="9">
        <f t="shared" si="10"/>
        <v>20.057432432432432</v>
      </c>
    </row>
    <row r="74" spans="1:10" x14ac:dyDescent="0.25">
      <c r="A74" s="3"/>
      <c r="B74" s="15" t="s">
        <v>51</v>
      </c>
      <c r="C74" s="42">
        <v>65000</v>
      </c>
      <c r="D74" s="42">
        <v>115068</v>
      </c>
      <c r="E74" s="8">
        <f t="shared" si="9"/>
        <v>50068</v>
      </c>
      <c r="F74" s="9">
        <f t="shared" si="10"/>
        <v>77.027692307692305</v>
      </c>
    </row>
    <row r="75" spans="1:10" x14ac:dyDescent="0.25">
      <c r="A75" s="3"/>
      <c r="B75" s="15" t="s">
        <v>69</v>
      </c>
      <c r="C75" s="42">
        <v>38000</v>
      </c>
      <c r="D75" s="42">
        <f>3214+18000</f>
        <v>21214</v>
      </c>
      <c r="E75" s="8">
        <f t="shared" si="9"/>
        <v>-16786</v>
      </c>
      <c r="F75" s="9">
        <f t="shared" si="10"/>
        <v>-44.173684210526318</v>
      </c>
    </row>
    <row r="76" spans="1:10" x14ac:dyDescent="0.25">
      <c r="A76" s="3"/>
      <c r="B76" s="15" t="s">
        <v>61</v>
      </c>
      <c r="C76" s="42">
        <v>20000</v>
      </c>
      <c r="D76" s="42">
        <f>1158+15840</f>
        <v>16998</v>
      </c>
      <c r="E76" s="8">
        <f t="shared" si="9"/>
        <v>-3002</v>
      </c>
      <c r="F76" s="9">
        <f t="shared" si="10"/>
        <v>-15.01</v>
      </c>
    </row>
    <row r="77" spans="1:10" x14ac:dyDescent="0.25">
      <c r="A77" s="3"/>
      <c r="B77" s="15" t="s">
        <v>70</v>
      </c>
      <c r="C77" s="42">
        <v>20000</v>
      </c>
      <c r="D77" s="42">
        <v>19405</v>
      </c>
      <c r="E77" s="8">
        <f t="shared" si="9"/>
        <v>-595</v>
      </c>
      <c r="F77" s="9">
        <f t="shared" si="10"/>
        <v>-2.9750000000000001</v>
      </c>
    </row>
    <row r="78" spans="1:10" x14ac:dyDescent="0.25">
      <c r="A78" s="3"/>
      <c r="B78" s="15" t="s">
        <v>52</v>
      </c>
      <c r="C78" s="42">
        <v>5000</v>
      </c>
      <c r="D78" s="42">
        <v>5000</v>
      </c>
      <c r="E78" s="8">
        <f t="shared" si="9"/>
        <v>0</v>
      </c>
      <c r="F78" s="9">
        <f t="shared" si="10"/>
        <v>0</v>
      </c>
      <c r="I78" s="7"/>
      <c r="J78" s="8"/>
    </row>
    <row r="79" spans="1:10" x14ac:dyDescent="0.25">
      <c r="A79" s="3"/>
      <c r="B79" s="30" t="s">
        <v>67</v>
      </c>
      <c r="C79" s="44">
        <v>27000</v>
      </c>
      <c r="D79" s="44">
        <v>29609</v>
      </c>
      <c r="E79" s="8">
        <f t="shared" si="9"/>
        <v>2609</v>
      </c>
      <c r="F79" s="9">
        <f t="shared" si="10"/>
        <v>9.662962962962963</v>
      </c>
      <c r="I79" s="3"/>
      <c r="J79" s="8"/>
    </row>
    <row r="80" spans="1:10" x14ac:dyDescent="0.25">
      <c r="A80" s="3"/>
      <c r="B80" s="30" t="s">
        <v>24</v>
      </c>
      <c r="C80" s="44">
        <v>140000</v>
      </c>
      <c r="D80" s="44">
        <f>218821-15840</f>
        <v>202981</v>
      </c>
      <c r="E80" s="8">
        <f t="shared" si="9"/>
        <v>62981</v>
      </c>
      <c r="F80" s="9">
        <f t="shared" si="10"/>
        <v>44.986428571428569</v>
      </c>
      <c r="I80" s="3"/>
      <c r="J80" s="8"/>
    </row>
    <row r="81" spans="1:10" x14ac:dyDescent="0.25">
      <c r="A81" s="3"/>
      <c r="B81" s="30" t="s">
        <v>93</v>
      </c>
      <c r="C81" s="44">
        <v>150000</v>
      </c>
      <c r="D81" s="44">
        <f>143807</f>
        <v>143807</v>
      </c>
      <c r="E81" s="8">
        <f t="shared" si="9"/>
        <v>-6193</v>
      </c>
      <c r="F81" s="9">
        <f t="shared" si="10"/>
        <v>-4.1286666666666667</v>
      </c>
      <c r="I81" s="3"/>
      <c r="J81" s="8"/>
    </row>
    <row r="82" spans="1:10" ht="12" customHeight="1" x14ac:dyDescent="0.25">
      <c r="A82" s="3"/>
    </row>
    <row r="83" spans="1:10" x14ac:dyDescent="0.25">
      <c r="A83" s="3">
        <v>8</v>
      </c>
      <c r="B83" s="16" t="s">
        <v>25</v>
      </c>
      <c r="C83" s="37">
        <f>C84+C85+C87+C90+C91+C92+C93+C97</f>
        <v>885000</v>
      </c>
      <c r="D83" s="37">
        <f>D84+D85++D86+D87+D90+D91+D92+D93+D97</f>
        <v>876717.62</v>
      </c>
      <c r="E83" s="8">
        <f t="shared" ref="E83:E97" si="11">D83-C83</f>
        <v>-8282.3800000000047</v>
      </c>
      <c r="F83" s="9">
        <f t="shared" ref="F83:F97" si="12">E83*100/C83</f>
        <v>-0.9358621468926559</v>
      </c>
    </row>
    <row r="84" spans="1:10" x14ac:dyDescent="0.25">
      <c r="A84" s="3"/>
      <c r="B84" s="3" t="s">
        <v>38</v>
      </c>
      <c r="C84" s="8">
        <v>14000</v>
      </c>
      <c r="D84" s="8">
        <v>13948</v>
      </c>
      <c r="E84" s="8">
        <f t="shared" si="11"/>
        <v>-52</v>
      </c>
      <c r="F84" s="9">
        <f t="shared" si="12"/>
        <v>-0.37142857142857144</v>
      </c>
    </row>
    <row r="85" spans="1:10" x14ac:dyDescent="0.25">
      <c r="A85" s="3"/>
      <c r="B85" s="3" t="s">
        <v>26</v>
      </c>
      <c r="C85" s="8">
        <v>3000</v>
      </c>
      <c r="D85" s="8">
        <v>2870</v>
      </c>
      <c r="E85" s="8">
        <f t="shared" si="11"/>
        <v>-130</v>
      </c>
      <c r="F85" s="9">
        <f t="shared" si="12"/>
        <v>-4.333333333333333</v>
      </c>
    </row>
    <row r="86" spans="1:10" x14ac:dyDescent="0.25">
      <c r="A86" s="3"/>
      <c r="B86" s="3" t="s">
        <v>297</v>
      </c>
      <c r="C86" s="8">
        <v>0</v>
      </c>
      <c r="D86" s="8">
        <v>13703</v>
      </c>
      <c r="E86" s="8">
        <f t="shared" ref="E86" si="13">D86-C86</f>
        <v>13703</v>
      </c>
      <c r="F86" s="9" t="e">
        <f t="shared" ref="F86" si="14">E86*100/C86</f>
        <v>#DIV/0!</v>
      </c>
    </row>
    <row r="87" spans="1:10" x14ac:dyDescent="0.25">
      <c r="A87" s="3"/>
      <c r="B87" s="3" t="s">
        <v>27</v>
      </c>
      <c r="C87" s="8">
        <f>C88+C89</f>
        <v>103000</v>
      </c>
      <c r="D87" s="8">
        <f>D88+D89</f>
        <v>91076</v>
      </c>
      <c r="E87" s="8">
        <f t="shared" si="11"/>
        <v>-11924</v>
      </c>
      <c r="F87" s="9">
        <f t="shared" si="12"/>
        <v>-11.576699029126214</v>
      </c>
    </row>
    <row r="88" spans="1:10" x14ac:dyDescent="0.25">
      <c r="A88" s="3"/>
      <c r="B88" s="15" t="s">
        <v>39</v>
      </c>
      <c r="C88" s="43">
        <v>65000</v>
      </c>
      <c r="D88" s="43">
        <v>60763</v>
      </c>
      <c r="E88" s="8">
        <f t="shared" si="11"/>
        <v>-4237</v>
      </c>
      <c r="F88" s="9">
        <f t="shared" si="12"/>
        <v>-6.5184615384615388</v>
      </c>
    </row>
    <row r="89" spans="1:10" x14ac:dyDescent="0.25">
      <c r="A89" s="3"/>
      <c r="B89" s="15" t="s">
        <v>28</v>
      </c>
      <c r="C89" s="43">
        <v>38000</v>
      </c>
      <c r="D89" s="43">
        <v>30313</v>
      </c>
      <c r="E89" s="8">
        <f t="shared" si="11"/>
        <v>-7687</v>
      </c>
      <c r="F89" s="9">
        <f t="shared" si="12"/>
        <v>-20.228947368421053</v>
      </c>
    </row>
    <row r="90" spans="1:10" x14ac:dyDescent="0.25">
      <c r="A90" s="3"/>
      <c r="B90" s="3" t="s">
        <v>29</v>
      </c>
      <c r="C90" s="8">
        <v>50000</v>
      </c>
      <c r="D90" s="8">
        <v>65358</v>
      </c>
      <c r="E90" s="8">
        <f t="shared" si="11"/>
        <v>15358</v>
      </c>
      <c r="F90" s="9">
        <f t="shared" si="12"/>
        <v>30.716000000000001</v>
      </c>
    </row>
    <row r="91" spans="1:10" x14ac:dyDescent="0.25">
      <c r="A91" s="3"/>
      <c r="B91" s="3" t="s">
        <v>30</v>
      </c>
      <c r="C91" s="8">
        <v>37000</v>
      </c>
      <c r="D91" s="8">
        <v>27421</v>
      </c>
      <c r="E91" s="8">
        <f t="shared" si="11"/>
        <v>-9579</v>
      </c>
      <c r="F91" s="9">
        <f t="shared" si="12"/>
        <v>-25.889189189189189</v>
      </c>
    </row>
    <row r="92" spans="1:10" x14ac:dyDescent="0.25">
      <c r="A92" s="3"/>
      <c r="B92" s="3" t="s">
        <v>31</v>
      </c>
      <c r="C92" s="8">
        <v>25000</v>
      </c>
      <c r="D92" s="8">
        <v>20407</v>
      </c>
      <c r="E92" s="8">
        <f t="shared" si="11"/>
        <v>-4593</v>
      </c>
      <c r="F92" s="9">
        <f t="shared" si="12"/>
        <v>-18.372</v>
      </c>
    </row>
    <row r="93" spans="1:10" x14ac:dyDescent="0.25">
      <c r="A93" s="3"/>
      <c r="B93" s="3" t="s">
        <v>32</v>
      </c>
      <c r="C93" s="8">
        <f>C94+C95+C96</f>
        <v>83000</v>
      </c>
      <c r="D93" s="8">
        <f>D94+D95+D96</f>
        <v>88826.62</v>
      </c>
      <c r="E93" s="8">
        <f t="shared" si="11"/>
        <v>5826.6199999999953</v>
      </c>
      <c r="F93" s="9">
        <f t="shared" si="12"/>
        <v>7.0200240963855363</v>
      </c>
    </row>
    <row r="94" spans="1:10" x14ac:dyDescent="0.25">
      <c r="A94" s="3"/>
      <c r="B94" s="29" t="s">
        <v>81</v>
      </c>
      <c r="C94" s="43">
        <v>36000</v>
      </c>
      <c r="D94" s="43">
        <v>40770</v>
      </c>
      <c r="E94" s="8">
        <f t="shared" si="11"/>
        <v>4770</v>
      </c>
      <c r="F94" s="9">
        <f t="shared" si="12"/>
        <v>13.25</v>
      </c>
    </row>
    <row r="95" spans="1:10" x14ac:dyDescent="0.25">
      <c r="A95" s="3"/>
      <c r="B95" s="29" t="s">
        <v>82</v>
      </c>
      <c r="C95" s="43">
        <v>17000</v>
      </c>
      <c r="D95" s="43">
        <v>7840</v>
      </c>
      <c r="E95" s="8">
        <f t="shared" si="11"/>
        <v>-9160</v>
      </c>
      <c r="F95" s="9">
        <f t="shared" si="12"/>
        <v>-53.882352941176471</v>
      </c>
    </row>
    <row r="96" spans="1:10" x14ac:dyDescent="0.25">
      <c r="A96" s="3"/>
      <c r="B96" s="29" t="s">
        <v>83</v>
      </c>
      <c r="C96" s="43">
        <v>30000</v>
      </c>
      <c r="D96" s="43">
        <f>1390+20940.26+1668.86+54.24+1568.02+629.24+9915+4051</f>
        <v>40216.620000000003</v>
      </c>
      <c r="E96" s="8">
        <f t="shared" si="11"/>
        <v>10216.620000000003</v>
      </c>
      <c r="F96" s="9">
        <f t="shared" si="12"/>
        <v>34.055400000000006</v>
      </c>
    </row>
    <row r="97" spans="1:6" x14ac:dyDescent="0.25">
      <c r="A97" s="3"/>
      <c r="B97" s="3" t="s">
        <v>68</v>
      </c>
      <c r="C97" s="8">
        <v>570000</v>
      </c>
      <c r="D97" s="8">
        <v>553108</v>
      </c>
      <c r="E97" s="8">
        <f t="shared" si="11"/>
        <v>-16892</v>
      </c>
      <c r="F97" s="9">
        <f t="shared" si="12"/>
        <v>-2.9635087719298245</v>
      </c>
    </row>
    <row r="98" spans="1:6" ht="6" customHeight="1" x14ac:dyDescent="0.25">
      <c r="A98" s="3"/>
    </row>
    <row r="99" spans="1:6" x14ac:dyDescent="0.25">
      <c r="A99" s="3"/>
      <c r="C99" s="8"/>
      <c r="D99" s="8"/>
      <c r="E99" s="8"/>
      <c r="F99" s="9"/>
    </row>
    <row r="100" spans="1:6" x14ac:dyDescent="0.25">
      <c r="B100" s="6" t="s">
        <v>8</v>
      </c>
      <c r="C100" s="37">
        <f>C3+C28+C37+C43+C56+C68+C72+C83</f>
        <v>14924521</v>
      </c>
      <c r="D100" s="37">
        <f>D3+D28+D37+D43+D56+D68+D72+D83</f>
        <v>14936868.559999999</v>
      </c>
      <c r="E100" s="8">
        <f t="shared" ref="E100" si="15">D100-C100</f>
        <v>12347.559999998659</v>
      </c>
      <c r="F100" s="9">
        <f t="shared" ref="F100" si="16">E100*100/C100</f>
        <v>8.2733375496598247E-2</v>
      </c>
    </row>
  </sheetData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9CA1C-8D02-4B74-AC6A-5E5CF220BBDE}">
  <sheetPr>
    <pageSetUpPr fitToPage="1"/>
  </sheetPr>
  <dimension ref="A1:G184"/>
  <sheetViews>
    <sheetView topLeftCell="A4" workbookViewId="0">
      <selection activeCell="F20" sqref="F20"/>
    </sheetView>
  </sheetViews>
  <sheetFormatPr defaultColWidth="8.7109375" defaultRowHeight="15" x14ac:dyDescent="0.25"/>
  <cols>
    <col min="1" max="1" width="8.7109375" style="60"/>
    <col min="2" max="2" width="56.28515625" style="60" customWidth="1"/>
    <col min="3" max="3" width="22.42578125" style="61" customWidth="1"/>
    <col min="4" max="4" width="8.7109375" style="60"/>
    <col min="5" max="5" width="29.42578125" style="60" customWidth="1"/>
    <col min="6" max="6" width="30.85546875" style="60" customWidth="1"/>
    <col min="7" max="7" width="16" style="60" customWidth="1"/>
    <col min="8" max="16384" width="8.7109375" style="60"/>
  </cols>
  <sheetData>
    <row r="1" spans="1:7" x14ac:dyDescent="0.25">
      <c r="A1" s="60" t="s">
        <v>103</v>
      </c>
      <c r="B1" s="60" t="s">
        <v>104</v>
      </c>
      <c r="C1" s="143">
        <v>45291</v>
      </c>
    </row>
    <row r="2" spans="1:7" x14ac:dyDescent="0.25">
      <c r="A2" s="62" t="s">
        <v>105</v>
      </c>
      <c r="B2" s="62"/>
      <c r="C2" s="63"/>
      <c r="D2" s="64"/>
      <c r="G2"/>
    </row>
    <row r="3" spans="1:7" x14ac:dyDescent="0.25">
      <c r="A3" s="62" t="s">
        <v>106</v>
      </c>
      <c r="B3" s="62"/>
      <c r="C3" s="63"/>
      <c r="D3" s="64"/>
      <c r="G3"/>
    </row>
    <row r="4" spans="1:7" x14ac:dyDescent="0.25">
      <c r="A4" s="65">
        <v>40111</v>
      </c>
      <c r="B4" s="65" t="s">
        <v>107</v>
      </c>
      <c r="C4" s="66">
        <v>1091641</v>
      </c>
      <c r="D4" s="64"/>
      <c r="E4" s="67" t="s">
        <v>108</v>
      </c>
      <c r="F4" s="68">
        <f>C4+C5+C6+C7+C8+C9+C10+C11+C12+C13+C14+C15+C16+C17+C18+C19</f>
        <v>14750529.34</v>
      </c>
      <c r="G4"/>
    </row>
    <row r="5" spans="1:7" x14ac:dyDescent="0.25">
      <c r="A5" s="65">
        <v>40112</v>
      </c>
      <c r="B5" s="69" t="s">
        <v>109</v>
      </c>
      <c r="C5" s="66">
        <v>445000</v>
      </c>
      <c r="D5" s="64"/>
      <c r="E5" s="67" t="s">
        <v>110</v>
      </c>
      <c r="F5" s="70">
        <f>C20+C21+C22++C23+C24+C25+C26+C27</f>
        <v>72120.34</v>
      </c>
      <c r="G5"/>
    </row>
    <row r="6" spans="1:7" x14ac:dyDescent="0.25">
      <c r="A6" s="65">
        <v>40113</v>
      </c>
      <c r="B6" s="65" t="s">
        <v>111</v>
      </c>
      <c r="C6" s="71">
        <v>2461000</v>
      </c>
      <c r="D6" s="64"/>
      <c r="E6" s="67" t="s">
        <v>112</v>
      </c>
      <c r="F6" s="72">
        <f>C31</f>
        <v>0.05</v>
      </c>
      <c r="G6"/>
    </row>
    <row r="7" spans="1:7" x14ac:dyDescent="0.25">
      <c r="A7" s="65">
        <v>40114</v>
      </c>
      <c r="B7" s="65" t="s">
        <v>113</v>
      </c>
      <c r="C7" s="66">
        <v>1700000</v>
      </c>
      <c r="D7" s="64"/>
      <c r="E7" s="73" t="s">
        <v>114</v>
      </c>
      <c r="F7" s="74">
        <f>F4+F5+F6</f>
        <v>14822649.73</v>
      </c>
      <c r="G7"/>
    </row>
    <row r="8" spans="1:7" x14ac:dyDescent="0.25">
      <c r="A8" s="69">
        <v>40115</v>
      </c>
      <c r="B8" s="69" t="s">
        <v>115</v>
      </c>
      <c r="C8" s="71">
        <v>2712215</v>
      </c>
      <c r="D8" s="64"/>
      <c r="E8" s="67"/>
      <c r="F8" s="75"/>
      <c r="G8"/>
    </row>
    <row r="9" spans="1:7" x14ac:dyDescent="0.25">
      <c r="A9" s="69">
        <v>40121</v>
      </c>
      <c r="B9" s="69" t="s">
        <v>116</v>
      </c>
      <c r="C9" s="76">
        <v>190000</v>
      </c>
      <c r="D9" s="64"/>
      <c r="E9" s="67" t="s">
        <v>117</v>
      </c>
      <c r="F9" s="77">
        <f>C9+C12+C16+F24</f>
        <v>5122068.17</v>
      </c>
    </row>
    <row r="10" spans="1:7" x14ac:dyDescent="0.25">
      <c r="A10" s="69">
        <v>401211</v>
      </c>
      <c r="B10" s="65" t="s">
        <v>118</v>
      </c>
      <c r="C10" s="66">
        <v>150937.5</v>
      </c>
      <c r="D10" s="64"/>
      <c r="E10" s="67" t="s">
        <v>119</v>
      </c>
      <c r="F10" s="78">
        <f>C4+C5+C6+C7+C8+C10+C13+C14+C17+C18+C19</f>
        <v>8813855.1699999999</v>
      </c>
      <c r="G10" s="79"/>
    </row>
    <row r="11" spans="1:7" x14ac:dyDescent="0.25">
      <c r="A11" s="65">
        <v>40122</v>
      </c>
      <c r="B11" s="65" t="s">
        <v>120</v>
      </c>
      <c r="C11" s="80">
        <v>1907356</v>
      </c>
      <c r="D11" s="64"/>
      <c r="E11" s="67" t="s">
        <v>121</v>
      </c>
      <c r="F11" s="81">
        <f>C15</f>
        <v>307250</v>
      </c>
      <c r="G11"/>
    </row>
    <row r="12" spans="1:7" x14ac:dyDescent="0.25">
      <c r="A12" s="65">
        <v>401227</v>
      </c>
      <c r="B12" s="65" t="s">
        <v>122</v>
      </c>
      <c r="C12" s="76">
        <v>2885307</v>
      </c>
      <c r="D12" s="64"/>
      <c r="E12" s="67"/>
      <c r="F12" s="74">
        <f>SUM(F9:F11)</f>
        <v>14243173.34</v>
      </c>
      <c r="G12"/>
    </row>
    <row r="13" spans="1:7" x14ac:dyDescent="0.25">
      <c r="A13" s="65">
        <v>401229</v>
      </c>
      <c r="B13" s="65" t="s">
        <v>123</v>
      </c>
      <c r="C13" s="66">
        <v>21000</v>
      </c>
      <c r="D13" s="64"/>
      <c r="E13" s="67"/>
      <c r="F13" s="74"/>
      <c r="G13"/>
    </row>
    <row r="14" spans="1:7" x14ac:dyDescent="0.25">
      <c r="A14" s="65">
        <v>40129</v>
      </c>
      <c r="B14" s="65" t="s">
        <v>124</v>
      </c>
      <c r="C14" s="71">
        <v>45000</v>
      </c>
      <c r="D14" s="64"/>
      <c r="E14" s="67"/>
      <c r="F14" s="79">
        <f>F9+F10+F15</f>
        <v>14443279.34</v>
      </c>
      <c r="G14"/>
    </row>
    <row r="15" spans="1:7" x14ac:dyDescent="0.25">
      <c r="A15" s="65">
        <v>40130</v>
      </c>
      <c r="B15" s="65" t="s">
        <v>125</v>
      </c>
      <c r="C15" s="82">
        <v>307250</v>
      </c>
      <c r="D15" s="64"/>
      <c r="E15" s="67"/>
      <c r="F15" s="72">
        <v>507356</v>
      </c>
      <c r="G15"/>
    </row>
    <row r="16" spans="1:7" x14ac:dyDescent="0.25">
      <c r="A16" s="65">
        <v>40133</v>
      </c>
      <c r="B16" s="65" t="s">
        <v>126</v>
      </c>
      <c r="C16" s="76">
        <v>646761.17000000004</v>
      </c>
      <c r="D16" s="64"/>
      <c r="E16" s="67"/>
      <c r="F16" s="75"/>
      <c r="G16"/>
    </row>
    <row r="17" spans="1:7" x14ac:dyDescent="0.25">
      <c r="A17" s="65">
        <v>40134</v>
      </c>
      <c r="B17" s="65" t="s">
        <v>127</v>
      </c>
      <c r="C17" s="83">
        <v>147385.67000000001</v>
      </c>
      <c r="D17" s="64"/>
      <c r="E17" s="73" t="s">
        <v>108</v>
      </c>
      <c r="F17" s="74">
        <f>F12+F15</f>
        <v>14750529.34</v>
      </c>
      <c r="G17"/>
    </row>
    <row r="18" spans="1:7" x14ac:dyDescent="0.25">
      <c r="A18" s="65">
        <v>401343</v>
      </c>
      <c r="B18" s="65" t="s">
        <v>128</v>
      </c>
      <c r="C18" s="83">
        <v>33930</v>
      </c>
      <c r="D18" s="64"/>
      <c r="E18" s="67"/>
      <c r="F18" s="75"/>
      <c r="G18"/>
    </row>
    <row r="19" spans="1:7" x14ac:dyDescent="0.25">
      <c r="A19" s="65">
        <v>401346</v>
      </c>
      <c r="B19" s="65" t="s">
        <v>129</v>
      </c>
      <c r="C19" s="71">
        <v>5746</v>
      </c>
      <c r="D19" s="64"/>
      <c r="E19" s="67"/>
      <c r="F19" s="75"/>
      <c r="G19"/>
    </row>
    <row r="20" spans="1:7" x14ac:dyDescent="0.25">
      <c r="A20" s="84">
        <v>40137</v>
      </c>
      <c r="B20" s="84" t="s">
        <v>130</v>
      </c>
      <c r="C20" s="85">
        <v>29058.62</v>
      </c>
      <c r="D20" s="64"/>
      <c r="E20" s="67" t="s">
        <v>131</v>
      </c>
      <c r="F20" s="72">
        <f>C4+C5+C6+C7+C8+C9+C10+C11+C12+C13</f>
        <v>13564456.5</v>
      </c>
      <c r="G20"/>
    </row>
    <row r="21" spans="1:7" x14ac:dyDescent="0.25">
      <c r="A21" s="84">
        <v>40142</v>
      </c>
      <c r="B21" s="84" t="s">
        <v>132</v>
      </c>
      <c r="C21" s="85">
        <v>1383.8</v>
      </c>
      <c r="D21" s="64"/>
      <c r="E21" s="67"/>
      <c r="F21" s="72"/>
      <c r="G21"/>
    </row>
    <row r="22" spans="1:7" x14ac:dyDescent="0.25">
      <c r="A22" s="84">
        <v>40145</v>
      </c>
      <c r="B22" s="84" t="s">
        <v>133</v>
      </c>
      <c r="C22" s="85">
        <v>12105.68</v>
      </c>
      <c r="D22" s="64"/>
      <c r="E22" s="86"/>
      <c r="F22" s="75"/>
      <c r="G22"/>
    </row>
    <row r="23" spans="1:7" x14ac:dyDescent="0.25">
      <c r="A23" s="84">
        <v>40148</v>
      </c>
      <c r="B23" s="84" t="s">
        <v>134</v>
      </c>
      <c r="C23" s="87">
        <v>3988.55</v>
      </c>
      <c r="D23" s="64"/>
      <c r="E23" s="140" t="s">
        <v>292</v>
      </c>
      <c r="F23" s="75"/>
      <c r="G23"/>
    </row>
    <row r="24" spans="1:7" x14ac:dyDescent="0.25">
      <c r="A24" s="84">
        <v>40165</v>
      </c>
      <c r="B24" s="84" t="s">
        <v>135</v>
      </c>
      <c r="C24" s="85">
        <v>7000</v>
      </c>
      <c r="D24" s="64"/>
      <c r="E24" s="67" t="s">
        <v>293</v>
      </c>
      <c r="F24" s="72">
        <v>1400000</v>
      </c>
      <c r="G24"/>
    </row>
    <row r="25" spans="1:7" x14ac:dyDescent="0.25">
      <c r="A25" s="84">
        <v>40167</v>
      </c>
      <c r="B25" s="84" t="s">
        <v>136</v>
      </c>
      <c r="C25" s="85">
        <v>4575</v>
      </c>
      <c r="D25" s="79"/>
      <c r="E25" s="88" t="s">
        <v>294</v>
      </c>
      <c r="F25" s="72">
        <v>507356</v>
      </c>
      <c r="G25"/>
    </row>
    <row r="26" spans="1:7" x14ac:dyDescent="0.25">
      <c r="A26" s="84">
        <v>40168</v>
      </c>
      <c r="B26" s="84" t="s">
        <v>137</v>
      </c>
      <c r="C26" s="85">
        <v>200</v>
      </c>
      <c r="D26"/>
      <c r="E26" s="89"/>
      <c r="F26" s="141">
        <f>F24+F25</f>
        <v>1907356</v>
      </c>
      <c r="G26"/>
    </row>
    <row r="27" spans="1:7" x14ac:dyDescent="0.25">
      <c r="A27" s="84">
        <v>40171</v>
      </c>
      <c r="B27" s="84" t="s">
        <v>138</v>
      </c>
      <c r="C27" s="85">
        <v>13808.69</v>
      </c>
      <c r="D27" s="79"/>
      <c r="E27" s="67"/>
      <c r="F27" s="75"/>
      <c r="G27"/>
    </row>
    <row r="28" spans="1:7" x14ac:dyDescent="0.25">
      <c r="A28"/>
      <c r="B28" t="s">
        <v>139</v>
      </c>
      <c r="C28" s="90">
        <f>SUM(C4:C27)</f>
        <v>14822649.68</v>
      </c>
      <c r="D28" s="64"/>
      <c r="E28" s="67"/>
      <c r="F28" s="75"/>
      <c r="G28"/>
    </row>
    <row r="29" spans="1:7" x14ac:dyDescent="0.25">
      <c r="A29" t="s">
        <v>112</v>
      </c>
      <c r="B29"/>
      <c r="C29" s="79"/>
      <c r="D29" s="64"/>
      <c r="E29" s="67"/>
      <c r="F29" s="75"/>
      <c r="G29"/>
    </row>
    <row r="30" spans="1:7" x14ac:dyDescent="0.25">
      <c r="A30">
        <v>40491</v>
      </c>
      <c r="B30" t="s">
        <v>112</v>
      </c>
      <c r="C30" s="79">
        <v>0.05</v>
      </c>
      <c r="D30" s="64"/>
      <c r="E30" s="67"/>
      <c r="F30" s="72"/>
      <c r="G30"/>
    </row>
    <row r="31" spans="1:7" x14ac:dyDescent="0.25">
      <c r="A31"/>
      <c r="B31" t="s">
        <v>140</v>
      </c>
      <c r="C31" s="79">
        <f>SUM(C30)</f>
        <v>0.05</v>
      </c>
      <c r="D31" s="64"/>
      <c r="E31" s="91"/>
      <c r="F31" s="75"/>
      <c r="G31"/>
    </row>
    <row r="32" spans="1:7" x14ac:dyDescent="0.25">
      <c r="A32"/>
      <c r="B32" t="s">
        <v>141</v>
      </c>
      <c r="C32" s="90">
        <f>C28+C31</f>
        <v>14822649.73</v>
      </c>
      <c r="D32" s="64"/>
      <c r="E32" s="67"/>
      <c r="F32" s="75"/>
      <c r="G32"/>
    </row>
    <row r="33" spans="1:7" x14ac:dyDescent="0.25">
      <c r="A33" t="s">
        <v>142</v>
      </c>
      <c r="B33"/>
      <c r="C33" s="90"/>
      <c r="D33" s="64"/>
      <c r="E33" s="67"/>
      <c r="F33" s="75"/>
      <c r="G33"/>
    </row>
    <row r="34" spans="1:7" x14ac:dyDescent="0.25">
      <c r="A34" t="s">
        <v>143</v>
      </c>
      <c r="B34"/>
      <c r="C34" s="79"/>
      <c r="D34" s="64"/>
      <c r="E34" s="67"/>
      <c r="F34" s="75"/>
      <c r="G34"/>
    </row>
    <row r="35" spans="1:7" x14ac:dyDescent="0.25">
      <c r="A35" s="92">
        <v>50100</v>
      </c>
      <c r="B35" s="92" t="s">
        <v>144</v>
      </c>
      <c r="C35" s="93">
        <v>13493.2</v>
      </c>
      <c r="D35" s="64"/>
      <c r="E35" s="67"/>
      <c r="F35" s="75"/>
    </row>
    <row r="36" spans="1:7" x14ac:dyDescent="0.25">
      <c r="A36" s="92">
        <v>50101</v>
      </c>
      <c r="B36" s="92" t="s">
        <v>145</v>
      </c>
      <c r="C36" s="93">
        <v>2870</v>
      </c>
      <c r="D36" s="64"/>
      <c r="E36" s="67"/>
      <c r="F36" s="96"/>
    </row>
    <row r="37" spans="1:7" x14ac:dyDescent="0.25">
      <c r="A37" s="94">
        <v>502019</v>
      </c>
      <c r="B37" s="94" t="s">
        <v>146</v>
      </c>
      <c r="C37" s="95">
        <v>12034.49</v>
      </c>
      <c r="D37" s="64"/>
      <c r="E37" s="67"/>
      <c r="F37" s="96"/>
    </row>
    <row r="38" spans="1:7" x14ac:dyDescent="0.25">
      <c r="A38" s="94">
        <v>502020</v>
      </c>
      <c r="B38" s="94" t="s">
        <v>147</v>
      </c>
      <c r="C38" s="95">
        <v>9837.56</v>
      </c>
      <c r="D38" s="64"/>
      <c r="E38" s="67"/>
      <c r="F38" s="75"/>
    </row>
    <row r="39" spans="1:7" x14ac:dyDescent="0.25">
      <c r="A39" s="94">
        <v>502023</v>
      </c>
      <c r="B39" s="94" t="s">
        <v>148</v>
      </c>
      <c r="C39" s="95">
        <v>9207.8799999999992</v>
      </c>
      <c r="D39" s="64"/>
      <c r="E39" s="67"/>
      <c r="F39" s="75"/>
    </row>
    <row r="40" spans="1:7" x14ac:dyDescent="0.25">
      <c r="A40" s="94">
        <v>502026</v>
      </c>
      <c r="B40" s="94" t="s">
        <v>149</v>
      </c>
      <c r="C40" s="95">
        <v>24181.7</v>
      </c>
      <c r="D40" s="64"/>
      <c r="E40" s="67"/>
      <c r="F40" s="75"/>
    </row>
    <row r="41" spans="1:7" x14ac:dyDescent="0.25">
      <c r="A41" s="94">
        <v>502028</v>
      </c>
      <c r="B41" s="94" t="s">
        <v>150</v>
      </c>
      <c r="C41" s="95">
        <v>10824.6</v>
      </c>
      <c r="D41" s="64"/>
      <c r="E41" s="98"/>
      <c r="F41" s="96"/>
    </row>
    <row r="42" spans="1:7" x14ac:dyDescent="0.25">
      <c r="A42" s="69">
        <v>50203</v>
      </c>
      <c r="B42" s="69" t="s">
        <v>16</v>
      </c>
      <c r="C42" s="97">
        <v>42005.45</v>
      </c>
      <c r="D42" s="64"/>
      <c r="E42" s="98"/>
      <c r="F42" s="98"/>
    </row>
    <row r="43" spans="1:7" x14ac:dyDescent="0.25">
      <c r="A43" s="69">
        <v>502035</v>
      </c>
      <c r="B43" s="69" t="s">
        <v>151</v>
      </c>
      <c r="C43" s="97">
        <v>25000</v>
      </c>
      <c r="D43" s="64"/>
      <c r="E43" s="98"/>
      <c r="F43" s="72"/>
    </row>
    <row r="44" spans="1:7" x14ac:dyDescent="0.25">
      <c r="A44" s="69">
        <v>502043</v>
      </c>
      <c r="B44" s="69" t="s">
        <v>152</v>
      </c>
      <c r="C44" s="97">
        <v>7500</v>
      </c>
      <c r="D44" s="64"/>
      <c r="E44" s="98"/>
      <c r="F44" s="98"/>
    </row>
    <row r="45" spans="1:7" x14ac:dyDescent="0.25">
      <c r="A45" s="69">
        <v>502044</v>
      </c>
      <c r="B45" s="69" t="s">
        <v>153</v>
      </c>
      <c r="C45" s="97">
        <v>21000</v>
      </c>
      <c r="D45" s="64"/>
      <c r="E45" s="67" t="s">
        <v>155</v>
      </c>
      <c r="F45" s="99">
        <f>+C37+C38+C39+C40+C41+C51+C52+C53+C54+C56+C58+C59+C60+C61+C62+C67+C68+C69+C70+C71+C72+C73+C74+C75+C76+C77+C78+C80+C81+C82+C83+C85+C86</f>
        <v>8941557.2399999984</v>
      </c>
    </row>
    <row r="46" spans="1:7" x14ac:dyDescent="0.25">
      <c r="A46" s="69">
        <v>502045</v>
      </c>
      <c r="B46" s="69" t="s">
        <v>154</v>
      </c>
      <c r="C46" s="97">
        <v>24884.11</v>
      </c>
      <c r="D46" s="64"/>
      <c r="E46" s="67" t="s">
        <v>108</v>
      </c>
      <c r="F46" s="100">
        <f>C42+C43+C44+C45+C46+C47+C48+C49+C50+C55++C57+C63+C64+C65+C66+C79</f>
        <v>5118593.16</v>
      </c>
    </row>
    <row r="47" spans="1:7" x14ac:dyDescent="0.25">
      <c r="A47" s="69">
        <v>502049</v>
      </c>
      <c r="B47" s="69" t="s">
        <v>156</v>
      </c>
      <c r="C47" s="97">
        <v>15000</v>
      </c>
      <c r="D47" s="64"/>
      <c r="E47" s="67" t="s">
        <v>158</v>
      </c>
      <c r="F47" s="72">
        <f>F94</f>
        <v>309645.51</v>
      </c>
    </row>
    <row r="48" spans="1:7" x14ac:dyDescent="0.25">
      <c r="A48" s="69">
        <v>50205</v>
      </c>
      <c r="B48" s="69" t="s">
        <v>157</v>
      </c>
      <c r="C48" s="97">
        <v>24000</v>
      </c>
      <c r="D48" s="64"/>
      <c r="E48" s="67"/>
      <c r="F48" s="75"/>
    </row>
    <row r="49" spans="1:6" x14ac:dyDescent="0.25">
      <c r="A49" s="69">
        <v>502050</v>
      </c>
      <c r="B49" s="69" t="s">
        <v>159</v>
      </c>
      <c r="C49" s="97">
        <v>10000</v>
      </c>
      <c r="D49" s="64"/>
      <c r="E49" s="67"/>
      <c r="F49" s="74">
        <f>SUM(F45:F47)</f>
        <v>14369795.909999998</v>
      </c>
    </row>
    <row r="50" spans="1:6" x14ac:dyDescent="0.25">
      <c r="A50" s="69">
        <v>50206</v>
      </c>
      <c r="B50" s="69" t="s">
        <v>160</v>
      </c>
      <c r="C50" s="97">
        <v>8000</v>
      </c>
      <c r="D50" s="64"/>
      <c r="E50" s="67"/>
      <c r="F50" s="75"/>
    </row>
    <row r="51" spans="1:6" x14ac:dyDescent="0.25">
      <c r="A51" s="94">
        <v>50207</v>
      </c>
      <c r="B51" s="94" t="s">
        <v>161</v>
      </c>
      <c r="C51" s="101">
        <v>15000</v>
      </c>
      <c r="D51" s="64"/>
      <c r="E51" s="102">
        <f>C51+C52+C53+C54++C58+C79</f>
        <v>128539.31999999999</v>
      </c>
      <c r="F51" s="103" t="s">
        <v>162</v>
      </c>
    </row>
    <row r="52" spans="1:6" x14ac:dyDescent="0.25">
      <c r="A52" s="94">
        <v>502071</v>
      </c>
      <c r="B52" s="94" t="s">
        <v>21</v>
      </c>
      <c r="C52" s="101">
        <v>70436.179999999993</v>
      </c>
      <c r="D52" s="64"/>
      <c r="E52" s="67"/>
      <c r="F52" s="75"/>
    </row>
    <row r="53" spans="1:6" x14ac:dyDescent="0.25">
      <c r="A53" s="94">
        <v>502072</v>
      </c>
      <c r="B53" s="94" t="s">
        <v>163</v>
      </c>
      <c r="C53" s="101">
        <v>15247.2</v>
      </c>
      <c r="D53" s="64"/>
      <c r="E53" s="67"/>
      <c r="F53" s="75"/>
    </row>
    <row r="54" spans="1:6" x14ac:dyDescent="0.25">
      <c r="A54" s="94">
        <v>502073</v>
      </c>
      <c r="B54" s="94" t="s">
        <v>164</v>
      </c>
      <c r="C54" s="101">
        <v>2205.56</v>
      </c>
      <c r="D54" s="64"/>
      <c r="E54" s="89">
        <f>C56+C57+C59+C60+C61+C62</f>
        <v>3905500.1</v>
      </c>
      <c r="F54" s="75" t="s">
        <v>3</v>
      </c>
    </row>
    <row r="55" spans="1:6" x14ac:dyDescent="0.25">
      <c r="A55" s="69">
        <v>50212</v>
      </c>
      <c r="B55" s="69" t="s">
        <v>34</v>
      </c>
      <c r="C55" s="97">
        <v>150937.5</v>
      </c>
      <c r="D55" s="64"/>
      <c r="E55" s="67"/>
      <c r="F55" s="75"/>
    </row>
    <row r="56" spans="1:6" x14ac:dyDescent="0.25">
      <c r="A56" s="94">
        <v>50220</v>
      </c>
      <c r="B56" s="94" t="s">
        <v>3</v>
      </c>
      <c r="C56" s="95">
        <v>2197240</v>
      </c>
      <c r="D56" s="64"/>
      <c r="E56" s="67"/>
      <c r="F56" s="75"/>
    </row>
    <row r="57" spans="1:6" x14ac:dyDescent="0.25">
      <c r="A57" s="69">
        <v>502201</v>
      </c>
      <c r="B57" s="69" t="s">
        <v>165</v>
      </c>
      <c r="C57" s="97">
        <v>119760.1</v>
      </c>
      <c r="D57" s="64"/>
      <c r="E57" s="89"/>
      <c r="F57" s="75"/>
    </row>
    <row r="58" spans="1:6" x14ac:dyDescent="0.25">
      <c r="A58" s="94">
        <v>50221</v>
      </c>
      <c r="B58" s="94" t="s">
        <v>166</v>
      </c>
      <c r="C58" s="101">
        <v>650.38</v>
      </c>
      <c r="D58" s="64"/>
      <c r="E58" s="67"/>
      <c r="F58" s="75"/>
    </row>
    <row r="59" spans="1:6" x14ac:dyDescent="0.25">
      <c r="A59" s="94">
        <v>50222</v>
      </c>
      <c r="B59" s="94" t="s">
        <v>167</v>
      </c>
      <c r="C59" s="95">
        <v>796400</v>
      </c>
      <c r="D59" s="64"/>
      <c r="E59" s="104">
        <f>C67+C68+C69</f>
        <v>3868581.47</v>
      </c>
      <c r="F59" s="105" t="s">
        <v>169</v>
      </c>
    </row>
    <row r="60" spans="1:6" x14ac:dyDescent="0.25">
      <c r="A60" s="94">
        <v>50223</v>
      </c>
      <c r="B60" s="94" t="s">
        <v>168</v>
      </c>
      <c r="C60" s="95">
        <v>459100</v>
      </c>
      <c r="D60" s="64"/>
      <c r="E60" s="67"/>
      <c r="F60" s="75"/>
    </row>
    <row r="61" spans="1:6" x14ac:dyDescent="0.25">
      <c r="A61" s="94">
        <v>502235</v>
      </c>
      <c r="B61" s="94" t="s">
        <v>170</v>
      </c>
      <c r="C61" s="95">
        <v>153000</v>
      </c>
      <c r="D61" s="64"/>
      <c r="E61" s="89">
        <f>C37+C38+C39+C40+C41+C42+C82</f>
        <v>138793.78</v>
      </c>
      <c r="F61" s="75" t="s">
        <v>172</v>
      </c>
    </row>
    <row r="62" spans="1:6" x14ac:dyDescent="0.25">
      <c r="A62" s="94">
        <v>50224</v>
      </c>
      <c r="B62" s="94" t="s">
        <v>171</v>
      </c>
      <c r="C62" s="95">
        <v>180000</v>
      </c>
      <c r="D62" s="64"/>
      <c r="E62" s="67"/>
      <c r="F62" s="75"/>
    </row>
    <row r="63" spans="1:6" x14ac:dyDescent="0.25">
      <c r="A63" s="69">
        <v>502271</v>
      </c>
      <c r="B63" s="69" t="s">
        <v>173</v>
      </c>
      <c r="C63" s="97">
        <v>2461002</v>
      </c>
      <c r="D63" s="64"/>
      <c r="E63" s="67"/>
      <c r="F63" s="75"/>
    </row>
    <row r="64" spans="1:6" x14ac:dyDescent="0.25">
      <c r="A64" s="69">
        <v>502272</v>
      </c>
      <c r="B64" s="69" t="s">
        <v>174</v>
      </c>
      <c r="C64" s="97">
        <v>445003</v>
      </c>
      <c r="D64" s="64"/>
      <c r="E64" s="106">
        <f>C44+C45+C46+C47+C48+C49+C50+C63+C64+C65+C66</f>
        <v>4755890.1099999994</v>
      </c>
      <c r="F64" s="107" t="s">
        <v>176</v>
      </c>
    </row>
    <row r="65" spans="1:6" x14ac:dyDescent="0.25">
      <c r="A65" s="69">
        <v>502274</v>
      </c>
      <c r="B65" s="69" t="s">
        <v>175</v>
      </c>
      <c r="C65" s="97">
        <v>39500</v>
      </c>
      <c r="D65" s="64"/>
      <c r="E65" s="67"/>
      <c r="F65" s="75"/>
    </row>
    <row r="66" spans="1:6" x14ac:dyDescent="0.25">
      <c r="A66" s="69">
        <v>502275</v>
      </c>
      <c r="B66" s="69" t="s">
        <v>177</v>
      </c>
      <c r="C66" s="97">
        <v>1700001</v>
      </c>
      <c r="D66" s="64"/>
      <c r="E66" s="67"/>
      <c r="F66" s="75"/>
    </row>
    <row r="67" spans="1:6" x14ac:dyDescent="0.25">
      <c r="A67" s="94">
        <v>502277</v>
      </c>
      <c r="B67" s="94" t="s">
        <v>178</v>
      </c>
      <c r="C67" s="108">
        <v>2660987</v>
      </c>
      <c r="D67" s="64"/>
      <c r="E67" s="109">
        <f>C70+C71+C72+C73+C74+C75+C76+C77+C78+C85</f>
        <v>554081.87</v>
      </c>
      <c r="F67" s="110" t="s">
        <v>180</v>
      </c>
    </row>
    <row r="68" spans="1:6" x14ac:dyDescent="0.25">
      <c r="A68" s="94">
        <v>502278</v>
      </c>
      <c r="B68" s="94" t="s">
        <v>179</v>
      </c>
      <c r="C68" s="108">
        <v>1157631.79</v>
      </c>
      <c r="D68" s="64"/>
      <c r="E68" s="67"/>
      <c r="F68" s="75"/>
    </row>
    <row r="69" spans="1:6" x14ac:dyDescent="0.25">
      <c r="A69" s="94">
        <v>502279</v>
      </c>
      <c r="B69" s="94" t="s">
        <v>181</v>
      </c>
      <c r="C69" s="108">
        <v>49962.68</v>
      </c>
      <c r="D69" s="64"/>
      <c r="E69" s="67"/>
      <c r="F69" s="75"/>
    </row>
    <row r="70" spans="1:6" x14ac:dyDescent="0.25">
      <c r="A70" s="94">
        <v>50301</v>
      </c>
      <c r="B70" s="94" t="s">
        <v>182</v>
      </c>
      <c r="C70" s="85">
        <v>5000</v>
      </c>
      <c r="D70" s="64"/>
      <c r="E70" s="89">
        <f>C80+C43+C81</f>
        <v>330555.92</v>
      </c>
      <c r="F70" s="75" t="s">
        <v>184</v>
      </c>
    </row>
    <row r="71" spans="1:6" x14ac:dyDescent="0.25">
      <c r="A71" s="94">
        <v>50302</v>
      </c>
      <c r="B71" s="94" t="s">
        <v>183</v>
      </c>
      <c r="C71" s="85">
        <v>29609.14</v>
      </c>
      <c r="D71" s="64"/>
    </row>
    <row r="72" spans="1:6" x14ac:dyDescent="0.25">
      <c r="A72" s="94">
        <v>503025</v>
      </c>
      <c r="B72" s="94" t="s">
        <v>185</v>
      </c>
      <c r="C72" s="85">
        <v>18000</v>
      </c>
      <c r="D72" s="64"/>
      <c r="E72" s="61"/>
    </row>
    <row r="73" spans="1:6" x14ac:dyDescent="0.25">
      <c r="A73" s="94">
        <v>50303</v>
      </c>
      <c r="B73" s="94" t="s">
        <v>186</v>
      </c>
      <c r="C73" s="85">
        <v>1233.5999999999999</v>
      </c>
      <c r="D73" s="64"/>
    </row>
    <row r="74" spans="1:6" x14ac:dyDescent="0.25">
      <c r="A74" s="94">
        <v>50304</v>
      </c>
      <c r="B74" s="94" t="s">
        <v>187</v>
      </c>
      <c r="C74" s="85">
        <v>130907.83</v>
      </c>
      <c r="D74" s="64"/>
    </row>
    <row r="75" spans="1:6" x14ac:dyDescent="0.25">
      <c r="A75" s="94">
        <v>50305</v>
      </c>
      <c r="B75" s="94" t="s">
        <v>188</v>
      </c>
      <c r="C75" s="85">
        <v>1980</v>
      </c>
      <c r="D75" s="64"/>
    </row>
    <row r="76" spans="1:6" x14ac:dyDescent="0.25">
      <c r="A76" s="94">
        <v>50307</v>
      </c>
      <c r="B76" s="94" t="s">
        <v>189</v>
      </c>
      <c r="C76" s="85">
        <v>202981.17</v>
      </c>
      <c r="D76" s="64"/>
      <c r="E76" s="111">
        <f>C86</f>
        <v>75435.350000000006</v>
      </c>
      <c r="F76" s="103" t="s">
        <v>191</v>
      </c>
    </row>
    <row r="77" spans="1:6" x14ac:dyDescent="0.25">
      <c r="A77" s="94">
        <v>50308</v>
      </c>
      <c r="B77" s="94" t="s">
        <v>190</v>
      </c>
      <c r="C77" s="85">
        <v>1158.0999999999999</v>
      </c>
      <c r="D77" s="64"/>
    </row>
    <row r="78" spans="1:6" x14ac:dyDescent="0.25">
      <c r="A78" s="94">
        <v>50309</v>
      </c>
      <c r="B78" s="94" t="s">
        <v>192</v>
      </c>
      <c r="C78" s="85">
        <v>143807.16</v>
      </c>
      <c r="D78" s="64"/>
      <c r="E78" s="67"/>
      <c r="F78" s="75"/>
    </row>
    <row r="79" spans="1:6" x14ac:dyDescent="0.25">
      <c r="A79" s="69">
        <v>50420</v>
      </c>
      <c r="B79" s="69" t="s">
        <v>193</v>
      </c>
      <c r="C79" s="101">
        <v>25000</v>
      </c>
      <c r="D79" s="64"/>
      <c r="E79" s="67" t="s">
        <v>195</v>
      </c>
      <c r="F79" s="72">
        <f>C89</f>
        <v>77268.100000000006</v>
      </c>
    </row>
    <row r="80" spans="1:6" x14ac:dyDescent="0.25">
      <c r="A80" s="94">
        <v>50500</v>
      </c>
      <c r="B80" s="94" t="s">
        <v>194</v>
      </c>
      <c r="C80" s="95">
        <v>304220.92</v>
      </c>
      <c r="D80" s="64"/>
      <c r="E80" s="67" t="s">
        <v>197</v>
      </c>
      <c r="F80" s="68">
        <f>C96+C97+C98+C99+C100+C101+C102+C108+C112+C115+C116</f>
        <v>73470.270000000019</v>
      </c>
    </row>
    <row r="81" spans="1:6" x14ac:dyDescent="0.25">
      <c r="A81" s="94">
        <v>50501</v>
      </c>
      <c r="B81" s="94" t="s">
        <v>196</v>
      </c>
      <c r="C81" s="95">
        <v>1335</v>
      </c>
      <c r="D81" s="64"/>
      <c r="E81" s="67" t="s">
        <v>69</v>
      </c>
      <c r="F81" s="112">
        <f>C91+C92+C93+C94</f>
        <v>20407.319999999996</v>
      </c>
    </row>
    <row r="82" spans="1:6" x14ac:dyDescent="0.25">
      <c r="A82" s="94">
        <v>50503</v>
      </c>
      <c r="B82" s="94" t="s">
        <v>198</v>
      </c>
      <c r="C82" s="95">
        <v>30702.1</v>
      </c>
      <c r="D82" s="64"/>
      <c r="E82" s="67" t="s">
        <v>200</v>
      </c>
      <c r="F82" s="114">
        <f>C90</f>
        <v>13808.7</v>
      </c>
    </row>
    <row r="83" spans="1:6" x14ac:dyDescent="0.25">
      <c r="A83" s="94">
        <v>50508</v>
      </c>
      <c r="B83" s="94" t="s">
        <v>199</v>
      </c>
      <c r="C83" s="113">
        <v>151834.98000000001</v>
      </c>
      <c r="D83" s="64"/>
      <c r="E83" s="67" t="s">
        <v>202</v>
      </c>
      <c r="F83" s="115">
        <f>C113+C114</f>
        <v>27421.22</v>
      </c>
    </row>
    <row r="84" spans="1:6" x14ac:dyDescent="0.25">
      <c r="A84" s="92">
        <v>50512</v>
      </c>
      <c r="B84" s="92" t="s">
        <v>201</v>
      </c>
      <c r="C84" s="93">
        <v>455.47</v>
      </c>
      <c r="D84" s="64"/>
      <c r="E84" s="67" t="s">
        <v>58</v>
      </c>
      <c r="F84" s="116">
        <f>C104+C105+C106+C107+C109+C110+C111</f>
        <v>65358.13</v>
      </c>
    </row>
    <row r="85" spans="1:6" x14ac:dyDescent="0.25">
      <c r="A85" s="94">
        <v>50532</v>
      </c>
      <c r="B85" s="94" t="s">
        <v>291</v>
      </c>
      <c r="C85" s="85">
        <v>19404.87</v>
      </c>
      <c r="D85" s="64"/>
      <c r="E85" s="67" t="s">
        <v>205</v>
      </c>
      <c r="F85" s="117">
        <f>C95</f>
        <v>1390</v>
      </c>
    </row>
    <row r="86" spans="1:6" x14ac:dyDescent="0.25">
      <c r="A86" s="94">
        <v>50538</v>
      </c>
      <c r="B86" s="94" t="s">
        <v>204</v>
      </c>
      <c r="C86" s="95">
        <v>75435.350000000006</v>
      </c>
      <c r="D86" s="64"/>
      <c r="E86" s="67" t="s">
        <v>207</v>
      </c>
      <c r="F86" s="118">
        <f>C103</f>
        <v>13703.1</v>
      </c>
    </row>
    <row r="87" spans="1:6" x14ac:dyDescent="0.25">
      <c r="A87"/>
      <c r="B87" t="s">
        <v>206</v>
      </c>
      <c r="C87" s="90">
        <f>SUM(C35:C86)</f>
        <v>14076969.069999998</v>
      </c>
      <c r="D87" s="64"/>
      <c r="E87" s="67"/>
      <c r="F87" s="74">
        <f>SUM(F79:F86)</f>
        <v>292826.84000000003</v>
      </c>
    </row>
    <row r="88" spans="1:6" x14ac:dyDescent="0.25">
      <c r="A88" t="s">
        <v>208</v>
      </c>
      <c r="B88"/>
      <c r="C88" s="79"/>
      <c r="D88" s="64"/>
      <c r="E88" s="67"/>
      <c r="F88" s="72"/>
    </row>
    <row r="89" spans="1:6" x14ac:dyDescent="0.25">
      <c r="A89">
        <v>50611</v>
      </c>
      <c r="B89" t="s">
        <v>209</v>
      </c>
      <c r="C89" s="79">
        <v>77268.100000000006</v>
      </c>
      <c r="D89" s="64"/>
      <c r="E89" s="67"/>
      <c r="F89" s="72"/>
    </row>
    <row r="90" spans="1:6" x14ac:dyDescent="0.25">
      <c r="A90" s="119">
        <v>50614</v>
      </c>
      <c r="B90" s="119" t="s">
        <v>210</v>
      </c>
      <c r="C90" s="108">
        <v>13808.7</v>
      </c>
      <c r="D90" s="64"/>
      <c r="E90" s="67" t="s">
        <v>212</v>
      </c>
      <c r="F90" s="122">
        <f>C36</f>
        <v>2870</v>
      </c>
    </row>
    <row r="91" spans="1:6" x14ac:dyDescent="0.25">
      <c r="A91" s="120">
        <v>50620</v>
      </c>
      <c r="B91" s="120" t="s">
        <v>211</v>
      </c>
      <c r="C91" s="121">
        <v>11189.88</v>
      </c>
      <c r="D91" s="64"/>
      <c r="E91" s="67" t="s">
        <v>214</v>
      </c>
      <c r="F91" s="122">
        <f>C35</f>
        <v>13493.2</v>
      </c>
    </row>
    <row r="92" spans="1:6" x14ac:dyDescent="0.25">
      <c r="A92" s="120">
        <v>50622</v>
      </c>
      <c r="B92" s="120" t="s">
        <v>213</v>
      </c>
      <c r="C92" s="121">
        <v>8845.06</v>
      </c>
      <c r="D92" s="64"/>
      <c r="E92" s="67" t="s">
        <v>216</v>
      </c>
      <c r="F92" s="122">
        <f>C84</f>
        <v>455.47</v>
      </c>
    </row>
    <row r="93" spans="1:6" x14ac:dyDescent="0.25">
      <c r="A93" s="120">
        <v>50623</v>
      </c>
      <c r="B93" s="120" t="s">
        <v>215</v>
      </c>
      <c r="C93" s="121">
        <v>74.959999999999994</v>
      </c>
      <c r="D93" s="64"/>
      <c r="E93" s="67"/>
      <c r="F93" s="123">
        <f>SUM(F90:F92)</f>
        <v>16818.670000000002</v>
      </c>
    </row>
    <row r="94" spans="1:6" x14ac:dyDescent="0.25">
      <c r="A94" s="120">
        <v>50631</v>
      </c>
      <c r="B94" s="120" t="s">
        <v>217</v>
      </c>
      <c r="C94" s="121">
        <v>297.42</v>
      </c>
      <c r="D94" s="64"/>
      <c r="E94" s="86" t="s">
        <v>219</v>
      </c>
      <c r="F94" s="123">
        <f>F87+F93</f>
        <v>309645.51</v>
      </c>
    </row>
    <row r="95" spans="1:6" x14ac:dyDescent="0.25">
      <c r="A95">
        <v>50632</v>
      </c>
      <c r="B95" t="s">
        <v>218</v>
      </c>
      <c r="C95" s="79">
        <v>1390</v>
      </c>
      <c r="D95" s="64"/>
    </row>
    <row r="96" spans="1:6" x14ac:dyDescent="0.25">
      <c r="A96" s="69">
        <v>50633</v>
      </c>
      <c r="B96" s="69" t="s">
        <v>220</v>
      </c>
      <c r="C96" s="97">
        <v>1929.6</v>
      </c>
      <c r="D96" s="64"/>
    </row>
    <row r="97" spans="1:6" x14ac:dyDescent="0.25">
      <c r="A97" s="69">
        <v>50636</v>
      </c>
      <c r="B97" s="69" t="s">
        <v>221</v>
      </c>
      <c r="C97" s="97">
        <v>4444.8</v>
      </c>
      <c r="D97" s="64"/>
    </row>
    <row r="98" spans="1:6" x14ac:dyDescent="0.25">
      <c r="A98" s="69">
        <v>50637</v>
      </c>
      <c r="B98" s="69" t="s">
        <v>222</v>
      </c>
      <c r="C98" s="97">
        <v>2315.25</v>
      </c>
      <c r="D98" s="64"/>
    </row>
    <row r="99" spans="1:6" x14ac:dyDescent="0.25">
      <c r="A99" s="69">
        <v>50638</v>
      </c>
      <c r="B99" s="69" t="s">
        <v>223</v>
      </c>
      <c r="C99" s="97">
        <v>1080</v>
      </c>
      <c r="D99" s="64"/>
    </row>
    <row r="100" spans="1:6" x14ac:dyDescent="0.25">
      <c r="A100" s="69">
        <v>50639</v>
      </c>
      <c r="B100" s="69" t="s">
        <v>224</v>
      </c>
      <c r="C100" s="97">
        <v>20940.259999999998</v>
      </c>
      <c r="D100" s="64"/>
    </row>
    <row r="101" spans="1:6" x14ac:dyDescent="0.25">
      <c r="A101" s="69">
        <v>50641</v>
      </c>
      <c r="B101" s="69" t="s">
        <v>225</v>
      </c>
      <c r="C101" s="97">
        <v>24480</v>
      </c>
      <c r="D101" s="64"/>
    </row>
    <row r="102" spans="1:6" x14ac:dyDescent="0.25">
      <c r="A102" s="69">
        <v>50642</v>
      </c>
      <c r="B102" s="69" t="s">
        <v>226</v>
      </c>
      <c r="C102" s="124">
        <v>14360</v>
      </c>
      <c r="D102" s="64"/>
    </row>
    <row r="103" spans="1:6" x14ac:dyDescent="0.25">
      <c r="A103" s="92">
        <v>50643</v>
      </c>
      <c r="B103" s="92" t="s">
        <v>207</v>
      </c>
      <c r="C103" s="93">
        <v>13703.1</v>
      </c>
      <c r="D103" s="64"/>
    </row>
    <row r="104" spans="1:6" x14ac:dyDescent="0.25">
      <c r="A104" s="125">
        <v>50651</v>
      </c>
      <c r="B104" s="125" t="s">
        <v>227</v>
      </c>
      <c r="C104" s="126">
        <v>35909.589999999997</v>
      </c>
      <c r="D104" s="64"/>
    </row>
    <row r="105" spans="1:6" x14ac:dyDescent="0.25">
      <c r="A105" s="125">
        <v>50661</v>
      </c>
      <c r="B105" s="125" t="s">
        <v>228</v>
      </c>
      <c r="C105" s="126">
        <v>8823.9500000000007</v>
      </c>
      <c r="D105" s="64"/>
    </row>
    <row r="106" spans="1:6" x14ac:dyDescent="0.25">
      <c r="A106" s="125">
        <v>50662</v>
      </c>
      <c r="B106" s="125" t="s">
        <v>229</v>
      </c>
      <c r="C106" s="126">
        <v>10452.66</v>
      </c>
      <c r="D106" s="64"/>
      <c r="F106" s="61"/>
    </row>
    <row r="107" spans="1:6" x14ac:dyDescent="0.25">
      <c r="A107" s="127">
        <v>50663</v>
      </c>
      <c r="B107" s="128" t="s">
        <v>230</v>
      </c>
      <c r="C107" s="128">
        <v>2326.58</v>
      </c>
      <c r="D107" s="64"/>
    </row>
    <row r="108" spans="1:6" x14ac:dyDescent="0.25">
      <c r="A108" s="129">
        <v>50664</v>
      </c>
      <c r="B108" s="130" t="s">
        <v>231</v>
      </c>
      <c r="C108" s="130">
        <v>1668.86</v>
      </c>
      <c r="D108" s="64"/>
    </row>
    <row r="109" spans="1:6" x14ac:dyDescent="0.25">
      <c r="A109" s="127">
        <v>50675</v>
      </c>
      <c r="B109" s="128" t="s">
        <v>232</v>
      </c>
      <c r="C109" s="128">
        <v>2666.99</v>
      </c>
      <c r="D109" s="64"/>
    </row>
    <row r="110" spans="1:6" x14ac:dyDescent="0.25">
      <c r="A110" s="127">
        <v>50677</v>
      </c>
      <c r="B110" s="128" t="s">
        <v>233</v>
      </c>
      <c r="C110" s="128">
        <v>4993.8999999999996</v>
      </c>
      <c r="D110" s="64"/>
    </row>
    <row r="111" spans="1:6" x14ac:dyDescent="0.25">
      <c r="A111" s="127">
        <v>50679</v>
      </c>
      <c r="B111" s="128" t="s">
        <v>234</v>
      </c>
      <c r="C111" s="128">
        <v>184.46</v>
      </c>
      <c r="D111" s="64"/>
    </row>
    <row r="112" spans="1:6" x14ac:dyDescent="0.25">
      <c r="A112" s="69">
        <v>50681</v>
      </c>
      <c r="B112" s="69" t="s">
        <v>235</v>
      </c>
      <c r="C112" s="97">
        <v>54.24</v>
      </c>
      <c r="D112" s="64"/>
    </row>
    <row r="113" spans="1:6" x14ac:dyDescent="0.25">
      <c r="A113" s="131">
        <v>50685</v>
      </c>
      <c r="B113" s="131" t="s">
        <v>236</v>
      </c>
      <c r="C113" s="132">
        <v>15349.22</v>
      </c>
      <c r="D113" s="64"/>
    </row>
    <row r="114" spans="1:6" x14ac:dyDescent="0.25">
      <c r="A114" s="131">
        <v>506850</v>
      </c>
      <c r="B114" s="131" t="s">
        <v>237</v>
      </c>
      <c r="C114" s="132">
        <v>12072</v>
      </c>
      <c r="D114" s="64"/>
    </row>
    <row r="115" spans="1:6" x14ac:dyDescent="0.25">
      <c r="A115" s="69">
        <v>50687</v>
      </c>
      <c r="B115" s="69" t="s">
        <v>238</v>
      </c>
      <c r="C115" s="97">
        <v>1568.02</v>
      </c>
      <c r="D115" s="64"/>
    </row>
    <row r="116" spans="1:6" x14ac:dyDescent="0.25">
      <c r="A116" s="69">
        <v>50691</v>
      </c>
      <c r="B116" s="69" t="s">
        <v>208</v>
      </c>
      <c r="C116" s="97">
        <v>629.24</v>
      </c>
      <c r="D116" s="64"/>
    </row>
    <row r="117" spans="1:6" x14ac:dyDescent="0.25">
      <c r="A117"/>
      <c r="B117" t="s">
        <v>239</v>
      </c>
      <c r="C117" s="90">
        <f>SUM(C89:C116)</f>
        <v>292826.84000000003</v>
      </c>
      <c r="D117" s="64"/>
    </row>
    <row r="118" spans="1:6" x14ac:dyDescent="0.25">
      <c r="A118" t="s">
        <v>240</v>
      </c>
      <c r="B118"/>
      <c r="C118" s="79"/>
      <c r="D118" s="64"/>
    </row>
    <row r="119" spans="1:6" x14ac:dyDescent="0.25">
      <c r="A119" t="s">
        <v>241</v>
      </c>
      <c r="B119"/>
      <c r="C119" s="79"/>
      <c r="D119" s="64"/>
    </row>
    <row r="120" spans="1:6" x14ac:dyDescent="0.25">
      <c r="A120">
        <v>50710</v>
      </c>
      <c r="B120" t="s">
        <v>242</v>
      </c>
      <c r="C120" s="79">
        <v>102000</v>
      </c>
      <c r="D120" s="64"/>
    </row>
    <row r="121" spans="1:6" x14ac:dyDescent="0.25">
      <c r="A121">
        <v>50711</v>
      </c>
      <c r="B121" t="s">
        <v>243</v>
      </c>
      <c r="C121" s="79">
        <v>241095.31</v>
      </c>
      <c r="D121" s="64"/>
    </row>
    <row r="122" spans="1:6" x14ac:dyDescent="0.25">
      <c r="A122">
        <v>50712</v>
      </c>
      <c r="B122" t="s">
        <v>244</v>
      </c>
      <c r="C122" s="79">
        <v>8750</v>
      </c>
      <c r="D122" s="64"/>
    </row>
    <row r="123" spans="1:6" x14ac:dyDescent="0.25">
      <c r="A123">
        <v>50713</v>
      </c>
      <c r="B123" t="s">
        <v>245</v>
      </c>
      <c r="C123" s="79">
        <v>45613.58</v>
      </c>
      <c r="D123" s="64"/>
    </row>
    <row r="124" spans="1:6" x14ac:dyDescent="0.25">
      <c r="A124">
        <v>50714</v>
      </c>
      <c r="B124" t="s">
        <v>246</v>
      </c>
      <c r="C124" s="79">
        <v>4847.41</v>
      </c>
      <c r="D124" s="64"/>
    </row>
    <row r="125" spans="1:6" x14ac:dyDescent="0.25">
      <c r="A125"/>
      <c r="B125" t="s">
        <v>247</v>
      </c>
      <c r="C125" s="90">
        <f>SUM(C120:C124)</f>
        <v>402306.3</v>
      </c>
      <c r="D125" s="64"/>
      <c r="E125" s="67"/>
      <c r="F125" s="75"/>
    </row>
    <row r="126" spans="1:6" x14ac:dyDescent="0.25">
      <c r="A126" t="s">
        <v>248</v>
      </c>
      <c r="B126"/>
      <c r="C126" s="79"/>
      <c r="D126" s="64"/>
      <c r="E126" s="67"/>
      <c r="F126" s="75"/>
    </row>
    <row r="127" spans="1:6" x14ac:dyDescent="0.25">
      <c r="A127">
        <v>50721</v>
      </c>
      <c r="B127" t="s">
        <v>249</v>
      </c>
      <c r="C127" s="79">
        <v>132753.64000000001</v>
      </c>
      <c r="D127" s="64"/>
      <c r="E127" s="67"/>
      <c r="F127" s="75"/>
    </row>
    <row r="128" spans="1:6" x14ac:dyDescent="0.25">
      <c r="A128">
        <v>50722</v>
      </c>
      <c r="B128" t="s">
        <v>250</v>
      </c>
      <c r="C128" s="79">
        <v>3218.25</v>
      </c>
      <c r="D128" s="64"/>
      <c r="E128" s="86" t="s">
        <v>252</v>
      </c>
      <c r="F128" s="74">
        <f>C125+C129</f>
        <v>538278.18999999994</v>
      </c>
    </row>
    <row r="129" spans="1:6" x14ac:dyDescent="0.25">
      <c r="A129"/>
      <c r="B129" t="s">
        <v>251</v>
      </c>
      <c r="C129" s="90">
        <f>SUM(C127:C128)</f>
        <v>135971.89000000001</v>
      </c>
      <c r="D129" s="64"/>
      <c r="E129" s="67"/>
      <c r="F129" s="75"/>
    </row>
    <row r="130" spans="1:6" x14ac:dyDescent="0.25">
      <c r="A130" t="s">
        <v>253</v>
      </c>
      <c r="B130"/>
      <c r="C130" s="79"/>
      <c r="D130" s="64"/>
      <c r="E130" s="67"/>
      <c r="F130" s="75"/>
    </row>
    <row r="131" spans="1:6" x14ac:dyDescent="0.25">
      <c r="A131" t="s">
        <v>254</v>
      </c>
      <c r="B131"/>
      <c r="C131" s="79"/>
      <c r="D131" s="64"/>
      <c r="E131" s="67"/>
      <c r="F131" s="75"/>
    </row>
    <row r="132" spans="1:6" x14ac:dyDescent="0.25">
      <c r="A132">
        <v>50723</v>
      </c>
      <c r="B132" t="s">
        <v>255</v>
      </c>
      <c r="C132" s="79">
        <v>4735.41</v>
      </c>
      <c r="D132" s="64"/>
      <c r="E132" s="67"/>
      <c r="F132" s="75"/>
    </row>
    <row r="133" spans="1:6" x14ac:dyDescent="0.25">
      <c r="A133">
        <v>50921</v>
      </c>
      <c r="B133" t="s">
        <v>256</v>
      </c>
      <c r="C133" s="79">
        <v>219.31</v>
      </c>
      <c r="D133" s="64"/>
      <c r="E133" s="86"/>
      <c r="F133" s="74"/>
    </row>
    <row r="134" spans="1:6" x14ac:dyDescent="0.25">
      <c r="A134">
        <v>50943</v>
      </c>
      <c r="B134" t="s">
        <v>257</v>
      </c>
      <c r="C134" s="79">
        <v>11</v>
      </c>
      <c r="D134" s="64"/>
      <c r="E134" s="67"/>
      <c r="F134" s="75"/>
    </row>
    <row r="135" spans="1:6" x14ac:dyDescent="0.25">
      <c r="A135">
        <v>50945</v>
      </c>
      <c r="B135" t="s">
        <v>258</v>
      </c>
      <c r="C135" s="79">
        <v>141.9</v>
      </c>
      <c r="D135" s="64"/>
      <c r="E135" s="133" t="s">
        <v>260</v>
      </c>
      <c r="F135" s="96">
        <f>C142</f>
        <v>24743.920000000002</v>
      </c>
    </row>
    <row r="136" spans="1:6" x14ac:dyDescent="0.25">
      <c r="A136">
        <v>50951</v>
      </c>
      <c r="B136" t="s">
        <v>259</v>
      </c>
      <c r="C136" s="79">
        <v>1966.28</v>
      </c>
      <c r="D136" s="64"/>
      <c r="E136" s="67"/>
      <c r="F136" s="75"/>
    </row>
    <row r="137" spans="1:6" x14ac:dyDescent="0.25">
      <c r="A137">
        <v>50952</v>
      </c>
      <c r="B137" t="s">
        <v>261</v>
      </c>
      <c r="C137" s="79">
        <v>7575.52</v>
      </c>
      <c r="D137" s="64"/>
      <c r="E137" s="73" t="s">
        <v>263</v>
      </c>
      <c r="F137" s="74">
        <f>F49+F128+F135</f>
        <v>14932818.019999998</v>
      </c>
    </row>
    <row r="138" spans="1:6" x14ac:dyDescent="0.25">
      <c r="A138">
        <v>50953</v>
      </c>
      <c r="B138" t="s">
        <v>262</v>
      </c>
      <c r="C138" s="79">
        <v>1127.03</v>
      </c>
      <c r="D138" s="64"/>
      <c r="E138" s="67"/>
      <c r="F138" s="75"/>
    </row>
    <row r="139" spans="1:6" x14ac:dyDescent="0.25">
      <c r="A139">
        <v>50962</v>
      </c>
      <c r="B139" t="s">
        <v>264</v>
      </c>
      <c r="C139" s="79">
        <v>2206</v>
      </c>
      <c r="D139" s="64"/>
      <c r="E139" s="98"/>
      <c r="F139" s="75"/>
    </row>
    <row r="140" spans="1:6" x14ac:dyDescent="0.25">
      <c r="A140">
        <v>50963</v>
      </c>
      <c r="B140" t="s">
        <v>265</v>
      </c>
      <c r="C140" s="79">
        <v>6760.57</v>
      </c>
      <c r="D140" s="64"/>
      <c r="E140" s="133" t="s">
        <v>266</v>
      </c>
      <c r="F140" s="72">
        <f>F7-F137</f>
        <v>-110168.28999999724</v>
      </c>
    </row>
    <row r="141" spans="1:6" x14ac:dyDescent="0.25">
      <c r="A141">
        <v>50991</v>
      </c>
      <c r="B141" t="s">
        <v>254</v>
      </c>
      <c r="C141" s="79">
        <v>0.9</v>
      </c>
      <c r="D141" s="64"/>
      <c r="E141" s="86"/>
      <c r="F141" s="74"/>
    </row>
    <row r="142" spans="1:6" x14ac:dyDescent="0.25">
      <c r="B142" t="s">
        <v>267</v>
      </c>
      <c r="C142" s="134">
        <f>SUM(C132:C141)</f>
        <v>24743.920000000002</v>
      </c>
      <c r="D142" s="64"/>
      <c r="E142" s="98"/>
      <c r="F142" s="75"/>
    </row>
    <row r="143" spans="1:6" x14ac:dyDescent="0.25">
      <c r="A143"/>
      <c r="B143" t="s">
        <v>268</v>
      </c>
      <c r="C143" s="90">
        <f>C87+C117+C125+C129+C142</f>
        <v>14932818.02</v>
      </c>
      <c r="D143" s="64"/>
      <c r="E143" s="133" t="s">
        <v>270</v>
      </c>
      <c r="F143" s="90">
        <f>F7</f>
        <v>14822649.73</v>
      </c>
    </row>
    <row r="144" spans="1:6" x14ac:dyDescent="0.25">
      <c r="A144"/>
      <c r="B144" t="s">
        <v>269</v>
      </c>
      <c r="C144" s="90">
        <f>C32-C143</f>
        <v>-110168.28999999911</v>
      </c>
      <c r="D144" s="64"/>
      <c r="E144" s="98"/>
      <c r="F144" s="135"/>
    </row>
    <row r="145" spans="1:6" ht="15.75" x14ac:dyDescent="0.25">
      <c r="A145" t="s">
        <v>271</v>
      </c>
      <c r="B145"/>
      <c r="C145" s="79"/>
      <c r="D145" s="64"/>
      <c r="E145" s="136"/>
      <c r="F145" s="90"/>
    </row>
    <row r="146" spans="1:6" ht="15.75" x14ac:dyDescent="0.25">
      <c r="A146" t="s">
        <v>272</v>
      </c>
      <c r="B146"/>
      <c r="C146" s="79"/>
      <c r="D146" s="64"/>
      <c r="E146" s="136"/>
      <c r="F146"/>
    </row>
    <row r="147" spans="1:6" ht="15.75" x14ac:dyDescent="0.25">
      <c r="A147">
        <v>41031</v>
      </c>
      <c r="B147" t="s">
        <v>273</v>
      </c>
      <c r="C147" s="79">
        <v>4330.7700000000004</v>
      </c>
      <c r="D147" s="64"/>
      <c r="E147" s="136"/>
      <c r="F147" s="90"/>
    </row>
    <row r="148" spans="1:6" ht="15.75" x14ac:dyDescent="0.25">
      <c r="A148">
        <v>41035</v>
      </c>
      <c r="B148" t="s">
        <v>274</v>
      </c>
      <c r="C148" s="79">
        <v>14939.62</v>
      </c>
      <c r="D148" s="64"/>
      <c r="E148" s="136"/>
      <c r="F148"/>
    </row>
    <row r="149" spans="1:6" ht="15.75" x14ac:dyDescent="0.25">
      <c r="A149"/>
      <c r="B149" t="s">
        <v>275</v>
      </c>
      <c r="C149" s="90">
        <f>SUM(C147:C148)</f>
        <v>19270.39</v>
      </c>
      <c r="D149" s="64"/>
      <c r="E149" s="136"/>
      <c r="F149"/>
    </row>
    <row r="150" spans="1:6" ht="15.75" x14ac:dyDescent="0.25">
      <c r="A150" t="s">
        <v>276</v>
      </c>
      <c r="B150"/>
      <c r="C150" s="90"/>
      <c r="D150" s="64"/>
      <c r="E150" s="136"/>
      <c r="F150"/>
    </row>
    <row r="151" spans="1:6" ht="15.75" x14ac:dyDescent="0.25">
      <c r="A151">
        <v>41041</v>
      </c>
      <c r="B151" t="s">
        <v>277</v>
      </c>
      <c r="C151" s="79">
        <v>40742.239999999998</v>
      </c>
      <c r="D151" s="64"/>
      <c r="E151" s="136" t="s">
        <v>279</v>
      </c>
      <c r="F151" s="90">
        <f>C149</f>
        <v>19270.39</v>
      </c>
    </row>
    <row r="152" spans="1:6" ht="15.75" x14ac:dyDescent="0.25">
      <c r="A152"/>
      <c r="B152" t="s">
        <v>278</v>
      </c>
      <c r="C152" s="90">
        <f>SUM(C151)</f>
        <v>40742.239999999998</v>
      </c>
      <c r="D152" s="64"/>
      <c r="E152" s="136"/>
      <c r="F152"/>
    </row>
    <row r="153" spans="1:6" ht="15.75" x14ac:dyDescent="0.25">
      <c r="A153" t="s">
        <v>280</v>
      </c>
      <c r="B153"/>
      <c r="C153" s="79"/>
      <c r="D153" s="64"/>
      <c r="E153" s="136" t="s">
        <v>282</v>
      </c>
      <c r="F153" s="90">
        <f>C152-C156</f>
        <v>-23321.300000000003</v>
      </c>
    </row>
    <row r="154" spans="1:6" x14ac:dyDescent="0.25">
      <c r="A154" t="s">
        <v>281</v>
      </c>
      <c r="B154"/>
      <c r="C154" s="90"/>
      <c r="D154" s="64"/>
      <c r="E154" s="137" t="s">
        <v>283</v>
      </c>
      <c r="F154" s="134">
        <f>F151+F153</f>
        <v>-4050.9100000000035</v>
      </c>
    </row>
    <row r="155" spans="1:6" x14ac:dyDescent="0.25">
      <c r="A155">
        <v>51141</v>
      </c>
      <c r="B155" t="s">
        <v>256</v>
      </c>
      <c r="C155" s="79">
        <v>64063.54</v>
      </c>
      <c r="D155" s="64"/>
      <c r="E155" s="98"/>
      <c r="F155" s="75"/>
    </row>
    <row r="156" spans="1:6" x14ac:dyDescent="0.25">
      <c r="A156"/>
      <c r="B156" t="s">
        <v>284</v>
      </c>
      <c r="C156" s="90">
        <f>SUM(C155)</f>
        <v>64063.54</v>
      </c>
      <c r="D156" s="64"/>
    </row>
    <row r="157" spans="1:6" x14ac:dyDescent="0.25">
      <c r="A157"/>
      <c r="B157"/>
      <c r="C157" s="79"/>
      <c r="D157" s="64"/>
    </row>
    <row r="158" spans="1:6" x14ac:dyDescent="0.25">
      <c r="A158"/>
      <c r="B158"/>
      <c r="C158" s="79"/>
      <c r="D158" s="64"/>
      <c r="F158" s="134"/>
    </row>
    <row r="159" spans="1:6" x14ac:dyDescent="0.25">
      <c r="A159"/>
      <c r="B159" s="135" t="s">
        <v>285</v>
      </c>
      <c r="C159" s="90">
        <f>C144+C149+C152-C156</f>
        <v>-114219.19999999911</v>
      </c>
      <c r="D159" s="64"/>
      <c r="E159" s="137" t="s">
        <v>286</v>
      </c>
      <c r="F159" s="134">
        <f>F140+F154</f>
        <v>-114219.19999999725</v>
      </c>
    </row>
    <row r="160" spans="1:6" x14ac:dyDescent="0.25">
      <c r="A160"/>
      <c r="B160"/>
      <c r="C160" s="79"/>
      <c r="D160" s="64"/>
    </row>
    <row r="161" spans="1:6" x14ac:dyDescent="0.25">
      <c r="A161"/>
      <c r="B161"/>
      <c r="C161" s="79"/>
      <c r="D161" s="64"/>
    </row>
    <row r="162" spans="1:6" x14ac:dyDescent="0.25">
      <c r="A162"/>
      <c r="B162"/>
      <c r="C162" s="79"/>
    </row>
    <row r="163" spans="1:6" x14ac:dyDescent="0.25">
      <c r="A163"/>
      <c r="B163"/>
      <c r="C163" s="79"/>
    </row>
    <row r="164" spans="1:6" x14ac:dyDescent="0.25">
      <c r="A164"/>
      <c r="B164"/>
      <c r="C164" s="79"/>
    </row>
    <row r="165" spans="1:6" x14ac:dyDescent="0.25">
      <c r="A165"/>
      <c r="B165"/>
      <c r="C165" s="79"/>
    </row>
    <row r="166" spans="1:6" x14ac:dyDescent="0.25">
      <c r="A166"/>
      <c r="B166"/>
      <c r="C166" s="79"/>
    </row>
    <row r="167" spans="1:6" x14ac:dyDescent="0.25">
      <c r="A167"/>
      <c r="B167"/>
      <c r="C167" s="90"/>
    </row>
    <row r="168" spans="1:6" x14ac:dyDescent="0.25">
      <c r="A168"/>
      <c r="B168"/>
      <c r="C168" s="90"/>
    </row>
    <row r="169" spans="1:6" x14ac:dyDescent="0.25">
      <c r="A169"/>
      <c r="B169"/>
      <c r="C169" s="90"/>
      <c r="E169" s="98"/>
      <c r="F169" s="135"/>
    </row>
    <row r="170" spans="1:6" ht="15.75" x14ac:dyDescent="0.25">
      <c r="A170"/>
      <c r="B170"/>
      <c r="C170" s="79"/>
      <c r="E170" s="136"/>
      <c r="F170" s="90"/>
    </row>
    <row r="171" spans="1:6" ht="15.75" x14ac:dyDescent="0.25">
      <c r="A171"/>
      <c r="B171"/>
      <c r="C171" s="79"/>
      <c r="E171" s="136"/>
      <c r="F171"/>
    </row>
    <row r="172" spans="1:6" ht="15.75" x14ac:dyDescent="0.25">
      <c r="A172"/>
      <c r="B172"/>
      <c r="C172" s="79"/>
      <c r="E172" s="136"/>
      <c r="F172" s="90"/>
    </row>
    <row r="173" spans="1:6" ht="15.75" x14ac:dyDescent="0.25">
      <c r="A173"/>
      <c r="B173"/>
      <c r="C173" s="90"/>
      <c r="E173" s="136"/>
      <c r="F173"/>
    </row>
    <row r="174" spans="1:6" ht="15.75" x14ac:dyDescent="0.25">
      <c r="A174"/>
      <c r="B174"/>
      <c r="C174" s="79"/>
      <c r="E174" s="136"/>
      <c r="F174"/>
    </row>
    <row r="175" spans="1:6" ht="15.75" x14ac:dyDescent="0.25">
      <c r="A175"/>
      <c r="B175"/>
      <c r="C175" s="79"/>
      <c r="E175" s="136"/>
      <c r="F175"/>
    </row>
    <row r="176" spans="1:6" ht="15.75" x14ac:dyDescent="0.25">
      <c r="A176"/>
      <c r="B176"/>
      <c r="C176" s="90"/>
      <c r="E176" s="136"/>
      <c r="F176" s="90"/>
    </row>
    <row r="177" spans="1:6" ht="15.75" x14ac:dyDescent="0.25">
      <c r="A177"/>
      <c r="B177"/>
      <c r="C177" s="79"/>
      <c r="E177" s="136"/>
      <c r="F177"/>
    </row>
    <row r="178" spans="1:6" ht="15.75" x14ac:dyDescent="0.25">
      <c r="A178"/>
      <c r="B178"/>
      <c r="C178" s="79"/>
      <c r="E178" s="136"/>
      <c r="F178"/>
    </row>
    <row r="179" spans="1:6" ht="15.75" x14ac:dyDescent="0.25">
      <c r="A179"/>
      <c r="B179"/>
      <c r="C179" s="79"/>
      <c r="E179" s="136"/>
      <c r="F179" s="90"/>
    </row>
    <row r="180" spans="1:6" ht="15.75" x14ac:dyDescent="0.25">
      <c r="A180"/>
      <c r="B180"/>
      <c r="C180" s="90"/>
      <c r="E180" s="136"/>
      <c r="F180" s="72"/>
    </row>
    <row r="181" spans="1:6" x14ac:dyDescent="0.25">
      <c r="A181"/>
      <c r="B181"/>
      <c r="C181" s="79"/>
    </row>
    <row r="182" spans="1:6" x14ac:dyDescent="0.25">
      <c r="A182"/>
      <c r="B182"/>
      <c r="C182" s="79"/>
    </row>
    <row r="183" spans="1:6" x14ac:dyDescent="0.25">
      <c r="A183"/>
      <c r="B183"/>
      <c r="C183" s="90"/>
    </row>
    <row r="184" spans="1:6" x14ac:dyDescent="0.25">
      <c r="A184"/>
      <c r="B184"/>
      <c r="C184" s="90"/>
    </row>
  </sheetData>
  <printOptions gridLines="1"/>
  <pageMargins left="0.70866141732283472" right="0.70866141732283472" top="0.74803149606299213" bottom="0.74803149606299213" header="0.31496062992125984" footer="0.31496062992125984"/>
  <pageSetup paperSize="9" scale="8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E23EE-16F2-43C2-A953-DE619E100B11}">
  <dimension ref="A1:F167"/>
  <sheetViews>
    <sheetView topLeftCell="A130" workbookViewId="0">
      <selection activeCell="C76" sqref="C76:C87"/>
    </sheetView>
  </sheetViews>
  <sheetFormatPr defaultRowHeight="15" x14ac:dyDescent="0.25"/>
  <cols>
    <col min="2" max="2" width="54.5703125" customWidth="1"/>
    <col min="3" max="3" width="14.85546875" customWidth="1"/>
    <col min="4" max="4" width="19.7109375" customWidth="1"/>
    <col min="6" max="6" width="12.42578125" bestFit="1" customWidth="1"/>
  </cols>
  <sheetData>
    <row r="1" spans="1:6" x14ac:dyDescent="0.25">
      <c r="C1" t="s">
        <v>103</v>
      </c>
      <c r="D1" t="s">
        <v>287</v>
      </c>
    </row>
    <row r="2" spans="1:6" x14ac:dyDescent="0.25">
      <c r="A2" t="s">
        <v>105</v>
      </c>
    </row>
    <row r="3" spans="1:6" x14ac:dyDescent="0.25">
      <c r="A3" t="s">
        <v>106</v>
      </c>
    </row>
    <row r="4" spans="1:6" x14ac:dyDescent="0.25">
      <c r="A4">
        <v>40111</v>
      </c>
      <c r="B4" t="s">
        <v>107</v>
      </c>
      <c r="C4" s="79">
        <v>1091641</v>
      </c>
      <c r="D4" s="79">
        <v>1091641</v>
      </c>
    </row>
    <row r="5" spans="1:6" x14ac:dyDescent="0.25">
      <c r="A5">
        <v>40112</v>
      </c>
      <c r="B5" t="s">
        <v>109</v>
      </c>
      <c r="C5" s="79">
        <v>445000</v>
      </c>
      <c r="D5" s="79">
        <v>445000</v>
      </c>
    </row>
    <row r="6" spans="1:6" x14ac:dyDescent="0.25">
      <c r="A6">
        <v>40113</v>
      </c>
      <c r="B6" t="s">
        <v>111</v>
      </c>
      <c r="C6" s="79">
        <v>2461000</v>
      </c>
      <c r="D6" s="79">
        <v>2461000</v>
      </c>
    </row>
    <row r="7" spans="1:6" x14ac:dyDescent="0.25">
      <c r="A7">
        <v>40114</v>
      </c>
      <c r="B7" t="s">
        <v>113</v>
      </c>
      <c r="C7" s="79">
        <v>1700000</v>
      </c>
      <c r="D7" s="79">
        <v>1700000</v>
      </c>
    </row>
    <row r="8" spans="1:6" x14ac:dyDescent="0.25">
      <c r="A8">
        <v>40115</v>
      </c>
      <c r="B8" t="s">
        <v>115</v>
      </c>
      <c r="C8" s="79">
        <v>2712215</v>
      </c>
      <c r="D8" s="79">
        <v>2712215</v>
      </c>
    </row>
    <row r="9" spans="1:6" x14ac:dyDescent="0.25">
      <c r="A9">
        <v>40121</v>
      </c>
      <c r="B9" t="s">
        <v>116</v>
      </c>
      <c r="C9" s="79">
        <v>190000</v>
      </c>
      <c r="D9" s="79">
        <v>190000</v>
      </c>
    </row>
    <row r="10" spans="1:6" x14ac:dyDescent="0.25">
      <c r="A10">
        <v>401211</v>
      </c>
      <c r="B10" t="s">
        <v>118</v>
      </c>
      <c r="C10" s="79">
        <v>150937.5</v>
      </c>
      <c r="D10" s="79">
        <v>150937.5</v>
      </c>
    </row>
    <row r="11" spans="1:6" x14ac:dyDescent="0.25">
      <c r="A11">
        <v>40122</v>
      </c>
      <c r="B11" t="s">
        <v>120</v>
      </c>
      <c r="C11" s="79">
        <v>1907356</v>
      </c>
      <c r="D11" s="79">
        <v>1907356</v>
      </c>
    </row>
    <row r="12" spans="1:6" x14ac:dyDescent="0.25">
      <c r="A12">
        <v>401227</v>
      </c>
      <c r="B12" t="s">
        <v>122</v>
      </c>
      <c r="C12" s="79">
        <v>2885307</v>
      </c>
      <c r="D12" s="79">
        <v>2885307</v>
      </c>
    </row>
    <row r="13" spans="1:6" x14ac:dyDescent="0.25">
      <c r="A13">
        <v>401229</v>
      </c>
      <c r="B13" t="s">
        <v>123</v>
      </c>
      <c r="C13" s="79">
        <v>21000</v>
      </c>
      <c r="D13" s="79">
        <v>21000</v>
      </c>
      <c r="F13" s="79"/>
    </row>
    <row r="14" spans="1:6" x14ac:dyDescent="0.25">
      <c r="A14">
        <v>40129</v>
      </c>
      <c r="B14" t="s">
        <v>124</v>
      </c>
      <c r="C14" s="79">
        <v>45000</v>
      </c>
      <c r="D14" s="79">
        <v>45000</v>
      </c>
    </row>
    <row r="15" spans="1:6" x14ac:dyDescent="0.25">
      <c r="A15">
        <v>40130</v>
      </c>
      <c r="B15" t="s">
        <v>125</v>
      </c>
      <c r="C15" s="79">
        <v>307250</v>
      </c>
      <c r="D15" s="79">
        <v>307250</v>
      </c>
    </row>
    <row r="16" spans="1:6" x14ac:dyDescent="0.25">
      <c r="A16">
        <v>40133</v>
      </c>
      <c r="B16" t="s">
        <v>126</v>
      </c>
      <c r="C16" s="79">
        <v>646761.17000000004</v>
      </c>
      <c r="D16" s="79">
        <v>646761.17000000004</v>
      </c>
    </row>
    <row r="17" spans="1:4" x14ac:dyDescent="0.25">
      <c r="A17">
        <v>40134</v>
      </c>
      <c r="B17" t="s">
        <v>127</v>
      </c>
      <c r="C17" s="79">
        <v>147385.67000000001</v>
      </c>
      <c r="D17" s="79">
        <v>147385.67000000001</v>
      </c>
    </row>
    <row r="18" spans="1:4" x14ac:dyDescent="0.25">
      <c r="A18">
        <v>401343</v>
      </c>
      <c r="B18" t="s">
        <v>128</v>
      </c>
      <c r="C18" s="79">
        <v>33930</v>
      </c>
      <c r="D18" s="79">
        <v>33930</v>
      </c>
    </row>
    <row r="19" spans="1:4" x14ac:dyDescent="0.25">
      <c r="A19">
        <v>401346</v>
      </c>
      <c r="B19" t="s">
        <v>129</v>
      </c>
      <c r="C19" s="79">
        <v>5746</v>
      </c>
      <c r="D19" s="79">
        <v>5746</v>
      </c>
    </row>
    <row r="20" spans="1:4" x14ac:dyDescent="0.25">
      <c r="A20">
        <v>40137</v>
      </c>
      <c r="B20" t="s">
        <v>130</v>
      </c>
      <c r="C20" s="79">
        <v>29058.62</v>
      </c>
      <c r="D20" s="79">
        <v>29058.62</v>
      </c>
    </row>
    <row r="21" spans="1:4" x14ac:dyDescent="0.25">
      <c r="A21">
        <v>40142</v>
      </c>
      <c r="B21" t="s">
        <v>132</v>
      </c>
      <c r="C21" s="79">
        <v>1383.8</v>
      </c>
      <c r="D21" s="79">
        <v>1383.8</v>
      </c>
    </row>
    <row r="22" spans="1:4" x14ac:dyDescent="0.25">
      <c r="A22">
        <v>40145</v>
      </c>
      <c r="B22" t="s">
        <v>133</v>
      </c>
      <c r="C22" s="79">
        <v>12105.68</v>
      </c>
      <c r="D22" s="79">
        <v>12105.68</v>
      </c>
    </row>
    <row r="23" spans="1:4" x14ac:dyDescent="0.25">
      <c r="A23">
        <v>40148</v>
      </c>
      <c r="B23" t="s">
        <v>134</v>
      </c>
      <c r="C23" s="79">
        <v>3988.55</v>
      </c>
      <c r="D23" s="79">
        <v>3988.55</v>
      </c>
    </row>
    <row r="24" spans="1:4" x14ac:dyDescent="0.25">
      <c r="A24">
        <v>40165</v>
      </c>
      <c r="B24" t="s">
        <v>135</v>
      </c>
      <c r="C24" s="79">
        <v>7000</v>
      </c>
      <c r="D24" s="79">
        <v>7000</v>
      </c>
    </row>
    <row r="25" spans="1:4" x14ac:dyDescent="0.25">
      <c r="A25">
        <v>40167</v>
      </c>
      <c r="B25" t="s">
        <v>136</v>
      </c>
      <c r="C25" s="79">
        <v>4575</v>
      </c>
      <c r="D25" s="79">
        <v>4575</v>
      </c>
    </row>
    <row r="26" spans="1:4" x14ac:dyDescent="0.25">
      <c r="A26">
        <v>40168</v>
      </c>
      <c r="B26" t="s">
        <v>137</v>
      </c>
      <c r="C26">
        <v>200</v>
      </c>
      <c r="D26">
        <v>200</v>
      </c>
    </row>
    <row r="27" spans="1:4" x14ac:dyDescent="0.25">
      <c r="A27">
        <v>40171</v>
      </c>
      <c r="B27" t="s">
        <v>138</v>
      </c>
      <c r="C27" s="79">
        <v>13808.69</v>
      </c>
      <c r="D27" s="79">
        <v>13808.69</v>
      </c>
    </row>
    <row r="28" spans="1:4" x14ac:dyDescent="0.25">
      <c r="A28" t="s">
        <v>139</v>
      </c>
      <c r="C28" s="79">
        <v>14822649.68</v>
      </c>
      <c r="D28" s="79">
        <v>14822649.68</v>
      </c>
    </row>
    <row r="30" spans="1:4" x14ac:dyDescent="0.25">
      <c r="A30" t="s">
        <v>112</v>
      </c>
    </row>
    <row r="31" spans="1:4" x14ac:dyDescent="0.25">
      <c r="A31">
        <v>40491</v>
      </c>
      <c r="B31" t="s">
        <v>112</v>
      </c>
      <c r="C31">
        <v>0.05</v>
      </c>
      <c r="D31">
        <v>0.05</v>
      </c>
    </row>
    <row r="32" spans="1:4" x14ac:dyDescent="0.25">
      <c r="A32" t="s">
        <v>140</v>
      </c>
      <c r="C32">
        <v>0.05</v>
      </c>
      <c r="D32">
        <v>0.05</v>
      </c>
    </row>
    <row r="34" spans="1:4" x14ac:dyDescent="0.25">
      <c r="A34" t="s">
        <v>141</v>
      </c>
      <c r="C34" s="79">
        <v>14822649.73</v>
      </c>
      <c r="D34" s="79">
        <v>14822649.73</v>
      </c>
    </row>
    <row r="35" spans="1:4" x14ac:dyDescent="0.25">
      <c r="A35" t="s">
        <v>142</v>
      </c>
    </row>
    <row r="36" spans="1:4" x14ac:dyDescent="0.25">
      <c r="A36" t="s">
        <v>143</v>
      </c>
    </row>
    <row r="37" spans="1:4" x14ac:dyDescent="0.25">
      <c r="A37">
        <v>50100</v>
      </c>
      <c r="B37" t="s">
        <v>144</v>
      </c>
      <c r="C37" s="79">
        <v>13493.2</v>
      </c>
      <c r="D37" s="79">
        <v>13493.2</v>
      </c>
    </row>
    <row r="38" spans="1:4" x14ac:dyDescent="0.25">
      <c r="A38">
        <v>50101</v>
      </c>
      <c r="B38" t="s">
        <v>145</v>
      </c>
      <c r="C38" s="79">
        <v>2870</v>
      </c>
      <c r="D38" s="79">
        <v>2870</v>
      </c>
    </row>
    <row r="39" spans="1:4" x14ac:dyDescent="0.25">
      <c r="A39">
        <v>502019</v>
      </c>
      <c r="B39" t="s">
        <v>146</v>
      </c>
      <c r="C39" s="79">
        <v>12034.49</v>
      </c>
      <c r="D39" s="79">
        <v>12034.49</v>
      </c>
    </row>
    <row r="40" spans="1:4" x14ac:dyDescent="0.25">
      <c r="A40">
        <v>502020</v>
      </c>
      <c r="B40" t="s">
        <v>147</v>
      </c>
      <c r="C40" s="79">
        <v>9837.56</v>
      </c>
      <c r="D40" s="79">
        <v>9837.56</v>
      </c>
    </row>
    <row r="41" spans="1:4" x14ac:dyDescent="0.25">
      <c r="A41">
        <v>502023</v>
      </c>
      <c r="B41" t="s">
        <v>148</v>
      </c>
      <c r="C41" s="79">
        <v>9207.8799999999992</v>
      </c>
      <c r="D41" s="79">
        <v>9207.8799999999992</v>
      </c>
    </row>
    <row r="42" spans="1:4" x14ac:dyDescent="0.25">
      <c r="A42">
        <v>502026</v>
      </c>
      <c r="B42" t="s">
        <v>149</v>
      </c>
      <c r="C42" s="79">
        <v>24181.7</v>
      </c>
      <c r="D42" s="79">
        <v>24181.7</v>
      </c>
    </row>
    <row r="43" spans="1:4" x14ac:dyDescent="0.25">
      <c r="A43">
        <v>502028</v>
      </c>
      <c r="B43" t="s">
        <v>150</v>
      </c>
      <c r="C43" s="79">
        <v>10824.6</v>
      </c>
      <c r="D43" s="79">
        <v>10824.6</v>
      </c>
    </row>
    <row r="44" spans="1:4" x14ac:dyDescent="0.25">
      <c r="A44">
        <v>50203</v>
      </c>
      <c r="B44" t="s">
        <v>16</v>
      </c>
      <c r="C44" s="79">
        <v>42005.45</v>
      </c>
      <c r="D44" s="79">
        <v>42005.45</v>
      </c>
    </row>
    <row r="45" spans="1:4" x14ac:dyDescent="0.25">
      <c r="A45">
        <v>502035</v>
      </c>
      <c r="B45" t="s">
        <v>151</v>
      </c>
      <c r="C45" s="79">
        <v>25000</v>
      </c>
      <c r="D45" s="79">
        <v>25000</v>
      </c>
    </row>
    <row r="46" spans="1:4" x14ac:dyDescent="0.25">
      <c r="A46">
        <v>502043</v>
      </c>
      <c r="B46" t="s">
        <v>152</v>
      </c>
      <c r="C46" s="79">
        <v>7500</v>
      </c>
      <c r="D46" s="79">
        <v>7500</v>
      </c>
    </row>
    <row r="47" spans="1:4" x14ac:dyDescent="0.25">
      <c r="A47">
        <v>502044</v>
      </c>
      <c r="B47" t="s">
        <v>153</v>
      </c>
      <c r="C47" s="79">
        <v>21000</v>
      </c>
      <c r="D47" s="79">
        <v>21000</v>
      </c>
    </row>
    <row r="48" spans="1:4" x14ac:dyDescent="0.25">
      <c r="A48">
        <v>502045</v>
      </c>
      <c r="B48" t="s">
        <v>154</v>
      </c>
      <c r="C48" s="79">
        <v>24884.11</v>
      </c>
      <c r="D48" s="79">
        <v>24884.11</v>
      </c>
    </row>
    <row r="49" spans="1:4" x14ac:dyDescent="0.25">
      <c r="A49">
        <v>502049</v>
      </c>
      <c r="B49" t="s">
        <v>156</v>
      </c>
      <c r="C49" s="79">
        <v>15000</v>
      </c>
      <c r="D49" s="79">
        <v>15000</v>
      </c>
    </row>
    <row r="50" spans="1:4" x14ac:dyDescent="0.25">
      <c r="A50">
        <v>50205</v>
      </c>
      <c r="B50" t="s">
        <v>157</v>
      </c>
      <c r="C50" s="79">
        <v>24000</v>
      </c>
      <c r="D50" s="79">
        <v>24000</v>
      </c>
    </row>
    <row r="51" spans="1:4" x14ac:dyDescent="0.25">
      <c r="A51">
        <v>502050</v>
      </c>
      <c r="B51" t="s">
        <v>159</v>
      </c>
      <c r="C51" s="79">
        <v>10000</v>
      </c>
      <c r="D51" s="79">
        <v>10000</v>
      </c>
    </row>
    <row r="52" spans="1:4" x14ac:dyDescent="0.25">
      <c r="A52">
        <v>50206</v>
      </c>
      <c r="B52" t="s">
        <v>160</v>
      </c>
      <c r="C52" s="79">
        <v>8000</v>
      </c>
      <c r="D52" s="79">
        <v>8000</v>
      </c>
    </row>
    <row r="53" spans="1:4" x14ac:dyDescent="0.25">
      <c r="A53">
        <v>50207</v>
      </c>
      <c r="B53" t="s">
        <v>161</v>
      </c>
      <c r="C53" s="79">
        <v>15000</v>
      </c>
      <c r="D53" s="79">
        <v>15000</v>
      </c>
    </row>
    <row r="54" spans="1:4" x14ac:dyDescent="0.25">
      <c r="A54">
        <v>502071</v>
      </c>
      <c r="B54" t="s">
        <v>21</v>
      </c>
      <c r="C54" s="79">
        <v>70436.179999999993</v>
      </c>
      <c r="D54" s="79">
        <v>70436.179999999993</v>
      </c>
    </row>
    <row r="55" spans="1:4" x14ac:dyDescent="0.25">
      <c r="A55">
        <v>502072</v>
      </c>
      <c r="B55" t="s">
        <v>163</v>
      </c>
      <c r="C55" s="79">
        <v>15247.2</v>
      </c>
      <c r="D55" s="79">
        <v>15247.2</v>
      </c>
    </row>
    <row r="56" spans="1:4" x14ac:dyDescent="0.25">
      <c r="A56">
        <v>502073</v>
      </c>
      <c r="B56" t="s">
        <v>164</v>
      </c>
      <c r="C56" s="79">
        <v>2205.56</v>
      </c>
      <c r="D56" s="79">
        <v>2205.56</v>
      </c>
    </row>
    <row r="57" spans="1:4" x14ac:dyDescent="0.25">
      <c r="A57">
        <v>50212</v>
      </c>
      <c r="B57" t="s">
        <v>34</v>
      </c>
      <c r="C57" s="79">
        <v>150937.5</v>
      </c>
      <c r="D57" s="79">
        <v>150937.5</v>
      </c>
    </row>
    <row r="58" spans="1:4" x14ac:dyDescent="0.25">
      <c r="A58">
        <v>50220</v>
      </c>
      <c r="B58" t="s">
        <v>3</v>
      </c>
      <c r="C58" s="79">
        <v>2197240</v>
      </c>
      <c r="D58" s="79">
        <v>2197240</v>
      </c>
    </row>
    <row r="59" spans="1:4" x14ac:dyDescent="0.25">
      <c r="A59">
        <v>502201</v>
      </c>
      <c r="B59" t="s">
        <v>165</v>
      </c>
      <c r="C59" s="79">
        <v>119760.1</v>
      </c>
      <c r="D59" s="79">
        <v>119760.1</v>
      </c>
    </row>
    <row r="60" spans="1:4" x14ac:dyDescent="0.25">
      <c r="A60">
        <v>50221</v>
      </c>
      <c r="B60" t="s">
        <v>166</v>
      </c>
      <c r="C60">
        <v>650.38</v>
      </c>
      <c r="D60">
        <v>650.38</v>
      </c>
    </row>
    <row r="61" spans="1:4" x14ac:dyDescent="0.25">
      <c r="A61">
        <v>50222</v>
      </c>
      <c r="B61" t="s">
        <v>167</v>
      </c>
      <c r="C61" s="79">
        <v>796400</v>
      </c>
      <c r="D61" s="79">
        <v>796400</v>
      </c>
    </row>
    <row r="62" spans="1:4" x14ac:dyDescent="0.25">
      <c r="A62">
        <v>50223</v>
      </c>
      <c r="B62" t="s">
        <v>168</v>
      </c>
      <c r="C62" s="79">
        <v>459100</v>
      </c>
      <c r="D62" s="79">
        <v>459100</v>
      </c>
    </row>
    <row r="63" spans="1:4" x14ac:dyDescent="0.25">
      <c r="A63">
        <v>502235</v>
      </c>
      <c r="B63" t="s">
        <v>170</v>
      </c>
      <c r="C63" s="79">
        <v>153000</v>
      </c>
      <c r="D63" s="79">
        <v>153000</v>
      </c>
    </row>
    <row r="64" spans="1:4" x14ac:dyDescent="0.25">
      <c r="A64">
        <v>50224</v>
      </c>
      <c r="B64" t="s">
        <v>171</v>
      </c>
      <c r="C64" s="79">
        <v>180000</v>
      </c>
      <c r="D64" s="79">
        <v>180000</v>
      </c>
    </row>
    <row r="65" spans="1:4" x14ac:dyDescent="0.25">
      <c r="A65">
        <v>502271</v>
      </c>
      <c r="B65" t="s">
        <v>173</v>
      </c>
      <c r="C65" s="79">
        <v>2461002</v>
      </c>
      <c r="D65" s="79">
        <v>2461002</v>
      </c>
    </row>
    <row r="66" spans="1:4" x14ac:dyDescent="0.25">
      <c r="A66">
        <v>502272</v>
      </c>
      <c r="B66" t="s">
        <v>174</v>
      </c>
      <c r="C66" s="79">
        <v>445003</v>
      </c>
      <c r="D66" s="79">
        <v>445003</v>
      </c>
    </row>
    <row r="67" spans="1:4" x14ac:dyDescent="0.25">
      <c r="A67">
        <v>502274</v>
      </c>
      <c r="B67" t="s">
        <v>175</v>
      </c>
      <c r="C67" s="79">
        <v>39500</v>
      </c>
      <c r="D67" s="79">
        <v>39500</v>
      </c>
    </row>
    <row r="68" spans="1:4" x14ac:dyDescent="0.25">
      <c r="A68">
        <v>502275</v>
      </c>
      <c r="B68" t="s">
        <v>177</v>
      </c>
      <c r="C68" s="79">
        <v>1700001</v>
      </c>
      <c r="D68" s="79">
        <v>1700001</v>
      </c>
    </row>
    <row r="69" spans="1:4" x14ac:dyDescent="0.25">
      <c r="A69">
        <v>502277</v>
      </c>
      <c r="B69" t="s">
        <v>178</v>
      </c>
      <c r="C69" s="79">
        <v>2660987</v>
      </c>
      <c r="D69" s="79">
        <v>2660987</v>
      </c>
    </row>
    <row r="70" spans="1:4" x14ac:dyDescent="0.25">
      <c r="A70">
        <v>502278</v>
      </c>
      <c r="B70" t="s">
        <v>179</v>
      </c>
      <c r="C70" s="79">
        <v>1157631.79</v>
      </c>
      <c r="D70" s="79">
        <v>1157631.79</v>
      </c>
    </row>
    <row r="71" spans="1:4" x14ac:dyDescent="0.25">
      <c r="A71">
        <v>502279</v>
      </c>
      <c r="B71" t="s">
        <v>181</v>
      </c>
      <c r="C71" s="79">
        <v>49962.68</v>
      </c>
      <c r="D71" s="79">
        <v>49962.68</v>
      </c>
    </row>
    <row r="72" spans="1:4" x14ac:dyDescent="0.25">
      <c r="A72">
        <v>50301</v>
      </c>
      <c r="B72" t="s">
        <v>182</v>
      </c>
      <c r="C72" s="79">
        <v>5000</v>
      </c>
      <c r="D72" s="79">
        <v>5000</v>
      </c>
    </row>
    <row r="73" spans="1:4" x14ac:dyDescent="0.25">
      <c r="A73">
        <v>50302</v>
      </c>
      <c r="B73" t="s">
        <v>183</v>
      </c>
      <c r="C73" s="79">
        <v>29609.14</v>
      </c>
      <c r="D73" s="79">
        <v>29609.14</v>
      </c>
    </row>
    <row r="74" spans="1:4" x14ac:dyDescent="0.25">
      <c r="A74">
        <v>503025</v>
      </c>
      <c r="B74" t="s">
        <v>185</v>
      </c>
      <c r="C74" s="79">
        <v>18000</v>
      </c>
      <c r="D74" s="79">
        <v>18000</v>
      </c>
    </row>
    <row r="75" spans="1:4" x14ac:dyDescent="0.25">
      <c r="A75">
        <v>50303</v>
      </c>
      <c r="B75" t="s">
        <v>186</v>
      </c>
      <c r="C75" s="79">
        <v>1233.5999999999999</v>
      </c>
      <c r="D75" s="79">
        <v>1233.5999999999999</v>
      </c>
    </row>
    <row r="76" spans="1:4" x14ac:dyDescent="0.25">
      <c r="A76">
        <v>50304</v>
      </c>
      <c r="B76" t="s">
        <v>187</v>
      </c>
      <c r="C76" s="79">
        <v>130907.83</v>
      </c>
      <c r="D76" s="79">
        <v>130907.83</v>
      </c>
    </row>
    <row r="77" spans="1:4" x14ac:dyDescent="0.25">
      <c r="A77">
        <v>50305</v>
      </c>
      <c r="B77" t="s">
        <v>188</v>
      </c>
      <c r="C77" s="79">
        <v>1980</v>
      </c>
      <c r="D77" s="79">
        <v>1980</v>
      </c>
    </row>
    <row r="78" spans="1:4" x14ac:dyDescent="0.25">
      <c r="A78">
        <v>50307</v>
      </c>
      <c r="B78" t="s">
        <v>189</v>
      </c>
      <c r="C78" s="79">
        <v>202981.17</v>
      </c>
      <c r="D78" s="79">
        <v>202981.17</v>
      </c>
    </row>
    <row r="79" spans="1:4" x14ac:dyDescent="0.25">
      <c r="A79">
        <v>50308</v>
      </c>
      <c r="B79" t="s">
        <v>190</v>
      </c>
      <c r="C79" s="79">
        <v>1158.0999999999999</v>
      </c>
      <c r="D79" s="79">
        <v>1158.0999999999999</v>
      </c>
    </row>
    <row r="80" spans="1:4" x14ac:dyDescent="0.25">
      <c r="A80">
        <v>50309</v>
      </c>
      <c r="B80" t="s">
        <v>192</v>
      </c>
      <c r="C80" s="79">
        <v>143807.16</v>
      </c>
      <c r="D80" s="79">
        <v>143807.16</v>
      </c>
    </row>
    <row r="81" spans="1:4" x14ac:dyDescent="0.25">
      <c r="A81">
        <v>50420</v>
      </c>
      <c r="B81" t="s">
        <v>193</v>
      </c>
      <c r="C81" s="79">
        <v>25000</v>
      </c>
      <c r="D81" s="79">
        <v>25000</v>
      </c>
    </row>
    <row r="82" spans="1:4" x14ac:dyDescent="0.25">
      <c r="A82">
        <v>50500</v>
      </c>
      <c r="B82" t="s">
        <v>194</v>
      </c>
      <c r="C82" s="79">
        <v>304220.92</v>
      </c>
      <c r="D82" s="79">
        <v>304220.92</v>
      </c>
    </row>
    <row r="83" spans="1:4" x14ac:dyDescent="0.25">
      <c r="A83">
        <v>50501</v>
      </c>
      <c r="B83" t="s">
        <v>196</v>
      </c>
      <c r="C83" s="79">
        <v>1335</v>
      </c>
      <c r="D83" s="79">
        <v>1335</v>
      </c>
    </row>
    <row r="84" spans="1:4" x14ac:dyDescent="0.25">
      <c r="A84">
        <v>50503</v>
      </c>
      <c r="B84" t="s">
        <v>198</v>
      </c>
      <c r="C84" s="79">
        <v>30702.1</v>
      </c>
      <c r="D84" s="79">
        <v>30702.1</v>
      </c>
    </row>
    <row r="85" spans="1:4" x14ac:dyDescent="0.25">
      <c r="A85">
        <v>50508</v>
      </c>
      <c r="B85" t="s">
        <v>199</v>
      </c>
      <c r="C85" s="79">
        <v>151834.98000000001</v>
      </c>
      <c r="D85" s="79">
        <v>151834.98000000001</v>
      </c>
    </row>
    <row r="86" spans="1:4" x14ac:dyDescent="0.25">
      <c r="A86">
        <v>50512</v>
      </c>
      <c r="B86" t="s">
        <v>201</v>
      </c>
      <c r="C86">
        <v>455.47</v>
      </c>
      <c r="D86">
        <v>455.47</v>
      </c>
    </row>
    <row r="87" spans="1:4" x14ac:dyDescent="0.25">
      <c r="A87">
        <v>50532</v>
      </c>
      <c r="B87" t="s">
        <v>203</v>
      </c>
      <c r="C87" s="79">
        <v>19404.87</v>
      </c>
      <c r="D87" s="79">
        <v>19404.87</v>
      </c>
    </row>
    <row r="88" spans="1:4" x14ac:dyDescent="0.25">
      <c r="A88">
        <v>50538</v>
      </c>
      <c r="B88" t="s">
        <v>204</v>
      </c>
      <c r="C88" s="79">
        <v>75435.350000000006</v>
      </c>
      <c r="D88" s="79">
        <v>75435.350000000006</v>
      </c>
    </row>
    <row r="89" spans="1:4" x14ac:dyDescent="0.25">
      <c r="A89" t="s">
        <v>206</v>
      </c>
      <c r="C89" s="79">
        <f>SUM(C37:C88)</f>
        <v>14076969.069999998</v>
      </c>
      <c r="D89" s="79">
        <f>SUM(D37:D88)</f>
        <v>14076969.069999998</v>
      </c>
    </row>
    <row r="91" spans="1:4" x14ac:dyDescent="0.25">
      <c r="A91" t="s">
        <v>208</v>
      </c>
    </row>
    <row r="92" spans="1:4" x14ac:dyDescent="0.25">
      <c r="A92">
        <v>50611</v>
      </c>
      <c r="B92" t="s">
        <v>209</v>
      </c>
      <c r="C92" s="79">
        <v>77268.100000000006</v>
      </c>
      <c r="D92" s="79">
        <v>77268.100000000006</v>
      </c>
    </row>
    <row r="93" spans="1:4" x14ac:dyDescent="0.25">
      <c r="A93">
        <v>50614</v>
      </c>
      <c r="B93" t="s">
        <v>210</v>
      </c>
      <c r="C93" s="79">
        <v>13808.7</v>
      </c>
      <c r="D93" s="79">
        <v>13808.7</v>
      </c>
    </row>
    <row r="94" spans="1:4" x14ac:dyDescent="0.25">
      <c r="A94">
        <v>50620</v>
      </c>
      <c r="B94" t="s">
        <v>211</v>
      </c>
      <c r="C94" s="79">
        <v>11189.88</v>
      </c>
      <c r="D94" s="79">
        <v>11189.88</v>
      </c>
    </row>
    <row r="95" spans="1:4" x14ac:dyDescent="0.25">
      <c r="A95">
        <v>50622</v>
      </c>
      <c r="B95" t="s">
        <v>213</v>
      </c>
      <c r="C95" s="79">
        <v>8845.06</v>
      </c>
      <c r="D95" s="79">
        <v>8845.06</v>
      </c>
    </row>
    <row r="96" spans="1:4" x14ac:dyDescent="0.25">
      <c r="A96">
        <v>50623</v>
      </c>
      <c r="B96" t="s">
        <v>215</v>
      </c>
      <c r="C96">
        <v>74.959999999999994</v>
      </c>
      <c r="D96">
        <v>74.959999999999994</v>
      </c>
    </row>
    <row r="97" spans="1:4" x14ac:dyDescent="0.25">
      <c r="A97">
        <v>50631</v>
      </c>
      <c r="B97" t="s">
        <v>217</v>
      </c>
      <c r="C97">
        <v>297.42</v>
      </c>
      <c r="D97">
        <v>297.42</v>
      </c>
    </row>
    <row r="98" spans="1:4" x14ac:dyDescent="0.25">
      <c r="A98">
        <v>50632</v>
      </c>
      <c r="B98" t="s">
        <v>218</v>
      </c>
      <c r="C98" s="79">
        <v>1390</v>
      </c>
      <c r="D98" s="79">
        <v>1390</v>
      </c>
    </row>
    <row r="99" spans="1:4" x14ac:dyDescent="0.25">
      <c r="A99">
        <v>50633</v>
      </c>
      <c r="B99" t="s">
        <v>220</v>
      </c>
      <c r="C99" s="79">
        <v>1929.6</v>
      </c>
      <c r="D99" s="79">
        <v>1929.6</v>
      </c>
    </row>
    <row r="100" spans="1:4" x14ac:dyDescent="0.25">
      <c r="A100">
        <v>50636</v>
      </c>
      <c r="B100" t="s">
        <v>221</v>
      </c>
      <c r="C100" s="79">
        <v>4444.8</v>
      </c>
      <c r="D100" s="79">
        <v>4444.8</v>
      </c>
    </row>
    <row r="101" spans="1:4" x14ac:dyDescent="0.25">
      <c r="A101">
        <v>50637</v>
      </c>
      <c r="B101" t="s">
        <v>222</v>
      </c>
      <c r="C101" s="79">
        <v>2315.25</v>
      </c>
      <c r="D101" s="79">
        <v>2315.25</v>
      </c>
    </row>
    <row r="102" spans="1:4" x14ac:dyDescent="0.25">
      <c r="A102">
        <v>50638</v>
      </c>
      <c r="B102" t="s">
        <v>223</v>
      </c>
      <c r="C102" s="79">
        <v>1080</v>
      </c>
      <c r="D102" s="79">
        <v>1080</v>
      </c>
    </row>
    <row r="103" spans="1:4" x14ac:dyDescent="0.25">
      <c r="A103">
        <v>50639</v>
      </c>
      <c r="B103" t="s">
        <v>224</v>
      </c>
      <c r="C103" s="79">
        <v>20940.259999999998</v>
      </c>
      <c r="D103" s="79">
        <v>20940.259999999998</v>
      </c>
    </row>
    <row r="104" spans="1:4" x14ac:dyDescent="0.25">
      <c r="A104">
        <v>50641</v>
      </c>
      <c r="B104" t="s">
        <v>225</v>
      </c>
      <c r="C104" s="79">
        <v>24480</v>
      </c>
      <c r="D104" s="79">
        <v>24480</v>
      </c>
    </row>
    <row r="105" spans="1:4" x14ac:dyDescent="0.25">
      <c r="A105">
        <v>50642</v>
      </c>
      <c r="B105" t="s">
        <v>226</v>
      </c>
      <c r="C105" s="79">
        <v>14360</v>
      </c>
      <c r="D105" s="79">
        <v>14360</v>
      </c>
    </row>
    <row r="106" spans="1:4" x14ac:dyDescent="0.25">
      <c r="A106">
        <v>50643</v>
      </c>
      <c r="B106" t="s">
        <v>207</v>
      </c>
      <c r="C106" s="79">
        <v>13703.1</v>
      </c>
      <c r="D106" s="79">
        <v>13703.1</v>
      </c>
    </row>
    <row r="107" spans="1:4" x14ac:dyDescent="0.25">
      <c r="A107">
        <v>50651</v>
      </c>
      <c r="B107" t="s">
        <v>227</v>
      </c>
      <c r="C107" s="79">
        <v>35909.589999999997</v>
      </c>
      <c r="D107" s="79">
        <v>35909.589999999997</v>
      </c>
    </row>
    <row r="108" spans="1:4" x14ac:dyDescent="0.25">
      <c r="A108">
        <v>50661</v>
      </c>
      <c r="B108" t="s">
        <v>228</v>
      </c>
      <c r="C108" s="79">
        <v>8823.9500000000007</v>
      </c>
      <c r="D108" s="79">
        <v>8823.9500000000007</v>
      </c>
    </row>
    <row r="109" spans="1:4" x14ac:dyDescent="0.25">
      <c r="A109">
        <v>50662</v>
      </c>
      <c r="B109" t="s">
        <v>229</v>
      </c>
      <c r="C109" s="79">
        <v>10452.66</v>
      </c>
      <c r="D109" s="79">
        <v>10452.66</v>
      </c>
    </row>
    <row r="110" spans="1:4" x14ac:dyDescent="0.25">
      <c r="A110">
        <v>50663</v>
      </c>
      <c r="B110" t="s">
        <v>230</v>
      </c>
      <c r="C110" s="79">
        <v>2326.58</v>
      </c>
      <c r="D110" s="79">
        <v>2326.58</v>
      </c>
    </row>
    <row r="111" spans="1:4" x14ac:dyDescent="0.25">
      <c r="A111">
        <v>50664</v>
      </c>
      <c r="B111" t="s">
        <v>231</v>
      </c>
      <c r="C111" s="79">
        <v>1668.86</v>
      </c>
      <c r="D111" s="79">
        <v>1668.86</v>
      </c>
    </row>
    <row r="112" spans="1:4" x14ac:dyDescent="0.25">
      <c r="A112">
        <v>50675</v>
      </c>
      <c r="B112" t="s">
        <v>232</v>
      </c>
      <c r="C112" s="79">
        <v>2666.99</v>
      </c>
      <c r="D112" s="79">
        <v>2666.99</v>
      </c>
    </row>
    <row r="113" spans="1:4" x14ac:dyDescent="0.25">
      <c r="A113">
        <v>50677</v>
      </c>
      <c r="B113" t="s">
        <v>233</v>
      </c>
      <c r="C113" s="79">
        <v>4993.8999999999996</v>
      </c>
      <c r="D113" s="79">
        <v>4993.8999999999996</v>
      </c>
    </row>
    <row r="114" spans="1:4" x14ac:dyDescent="0.25">
      <c r="A114">
        <v>50679</v>
      </c>
      <c r="B114" t="s">
        <v>234</v>
      </c>
      <c r="C114">
        <v>184.46</v>
      </c>
      <c r="D114">
        <v>184.46</v>
      </c>
    </row>
    <row r="115" spans="1:4" x14ac:dyDescent="0.25">
      <c r="A115">
        <v>50681</v>
      </c>
      <c r="B115" t="s">
        <v>235</v>
      </c>
      <c r="C115">
        <v>54.24</v>
      </c>
      <c r="D115">
        <v>54.24</v>
      </c>
    </row>
    <row r="116" spans="1:4" x14ac:dyDescent="0.25">
      <c r="A116">
        <v>50685</v>
      </c>
      <c r="B116" t="s">
        <v>236</v>
      </c>
      <c r="C116" s="79">
        <v>15349.22</v>
      </c>
      <c r="D116" s="79">
        <v>15349.22</v>
      </c>
    </row>
    <row r="117" spans="1:4" x14ac:dyDescent="0.25">
      <c r="A117">
        <v>506850</v>
      </c>
      <c r="B117" t="s">
        <v>237</v>
      </c>
      <c r="C117" s="79">
        <v>12072</v>
      </c>
      <c r="D117" s="79">
        <v>12072</v>
      </c>
    </row>
    <row r="118" spans="1:4" x14ac:dyDescent="0.25">
      <c r="A118">
        <v>50687</v>
      </c>
      <c r="B118" t="s">
        <v>238</v>
      </c>
      <c r="C118" s="79">
        <v>1568.02</v>
      </c>
      <c r="D118" s="79">
        <v>1568.02</v>
      </c>
    </row>
    <row r="119" spans="1:4" x14ac:dyDescent="0.25">
      <c r="A119">
        <v>50691</v>
      </c>
      <c r="B119" t="s">
        <v>208</v>
      </c>
      <c r="C119">
        <v>629.24</v>
      </c>
      <c r="D119">
        <v>629.24</v>
      </c>
    </row>
    <row r="120" spans="1:4" x14ac:dyDescent="0.25">
      <c r="A120" t="s">
        <v>239</v>
      </c>
      <c r="C120" s="79">
        <v>292826.84000000003</v>
      </c>
      <c r="D120" s="79">
        <v>292826.84000000003</v>
      </c>
    </row>
    <row r="122" spans="1:4" x14ac:dyDescent="0.25">
      <c r="A122" t="s">
        <v>240</v>
      </c>
    </row>
    <row r="123" spans="1:4" x14ac:dyDescent="0.25">
      <c r="A123" t="s">
        <v>241</v>
      </c>
    </row>
    <row r="124" spans="1:4" x14ac:dyDescent="0.25">
      <c r="A124">
        <v>50710</v>
      </c>
      <c r="B124" t="s">
        <v>242</v>
      </c>
      <c r="C124" s="79">
        <v>102000</v>
      </c>
      <c r="D124" s="79">
        <v>102000</v>
      </c>
    </row>
    <row r="125" spans="1:4" x14ac:dyDescent="0.25">
      <c r="A125">
        <v>50711</v>
      </c>
      <c r="B125" t="s">
        <v>243</v>
      </c>
      <c r="C125" s="79">
        <v>241095.31</v>
      </c>
      <c r="D125" s="79">
        <v>241095.31</v>
      </c>
    </row>
    <row r="126" spans="1:4" x14ac:dyDescent="0.25">
      <c r="A126">
        <v>50712</v>
      </c>
      <c r="B126" t="s">
        <v>244</v>
      </c>
      <c r="C126" s="79">
        <v>8750</v>
      </c>
      <c r="D126" s="79">
        <v>8750</v>
      </c>
    </row>
    <row r="127" spans="1:4" x14ac:dyDescent="0.25">
      <c r="A127">
        <v>50713</v>
      </c>
      <c r="B127" t="s">
        <v>245</v>
      </c>
      <c r="C127" s="79">
        <v>45613.58</v>
      </c>
      <c r="D127" s="79">
        <v>45613.58</v>
      </c>
    </row>
    <row r="128" spans="1:4" x14ac:dyDescent="0.25">
      <c r="A128">
        <v>50714</v>
      </c>
      <c r="B128" t="s">
        <v>246</v>
      </c>
      <c r="C128" s="79">
        <v>4847.41</v>
      </c>
      <c r="D128" s="79">
        <v>4847.41</v>
      </c>
    </row>
    <row r="129" spans="1:4" x14ac:dyDescent="0.25">
      <c r="A129" t="s">
        <v>247</v>
      </c>
      <c r="C129" s="79">
        <v>402306.3</v>
      </c>
      <c r="D129" s="79">
        <v>402306.3</v>
      </c>
    </row>
    <row r="131" spans="1:4" x14ac:dyDescent="0.25">
      <c r="A131" t="s">
        <v>248</v>
      </c>
    </row>
    <row r="132" spans="1:4" x14ac:dyDescent="0.25">
      <c r="A132">
        <v>50721</v>
      </c>
      <c r="B132" t="s">
        <v>249</v>
      </c>
      <c r="C132" s="79">
        <v>132753.64000000001</v>
      </c>
      <c r="D132" s="79">
        <v>132753.64000000001</v>
      </c>
    </row>
    <row r="133" spans="1:4" x14ac:dyDescent="0.25">
      <c r="A133">
        <v>50722</v>
      </c>
      <c r="B133" t="s">
        <v>250</v>
      </c>
      <c r="C133" s="79">
        <v>3218.25</v>
      </c>
      <c r="D133" s="79">
        <v>3218.25</v>
      </c>
    </row>
    <row r="134" spans="1:4" x14ac:dyDescent="0.25">
      <c r="A134" t="s">
        <v>251</v>
      </c>
      <c r="C134" s="79">
        <v>135971.89000000001</v>
      </c>
      <c r="D134" s="79">
        <v>135971.89000000001</v>
      </c>
    </row>
    <row r="136" spans="1:4" x14ac:dyDescent="0.25">
      <c r="A136" t="s">
        <v>253</v>
      </c>
    </row>
    <row r="137" spans="1:4" x14ac:dyDescent="0.25">
      <c r="A137" t="s">
        <v>254</v>
      </c>
    </row>
    <row r="138" spans="1:4" x14ac:dyDescent="0.25">
      <c r="A138">
        <v>50723</v>
      </c>
      <c r="B138" t="s">
        <v>255</v>
      </c>
      <c r="C138" s="79">
        <v>4735.41</v>
      </c>
      <c r="D138" s="79">
        <v>4735.41</v>
      </c>
    </row>
    <row r="139" spans="1:4" x14ac:dyDescent="0.25">
      <c r="A139">
        <v>50921</v>
      </c>
      <c r="B139" t="s">
        <v>256</v>
      </c>
      <c r="C139" s="79">
        <v>219.31</v>
      </c>
      <c r="D139" s="79">
        <v>219.31</v>
      </c>
    </row>
    <row r="140" spans="1:4" x14ac:dyDescent="0.25">
      <c r="A140">
        <v>50943</v>
      </c>
      <c r="B140" t="s">
        <v>257</v>
      </c>
      <c r="C140" s="79">
        <v>11</v>
      </c>
      <c r="D140" s="79">
        <v>11</v>
      </c>
    </row>
    <row r="141" spans="1:4" x14ac:dyDescent="0.25">
      <c r="A141">
        <v>50945</v>
      </c>
      <c r="B141" t="s">
        <v>258</v>
      </c>
      <c r="C141" s="79">
        <v>141.9</v>
      </c>
      <c r="D141" s="79">
        <v>141.9</v>
      </c>
    </row>
    <row r="142" spans="1:4" x14ac:dyDescent="0.25">
      <c r="A142">
        <v>50951</v>
      </c>
      <c r="B142" t="s">
        <v>259</v>
      </c>
      <c r="C142" s="79">
        <v>1966.28</v>
      </c>
      <c r="D142" s="79">
        <v>1966.28</v>
      </c>
    </row>
    <row r="143" spans="1:4" x14ac:dyDescent="0.25">
      <c r="A143">
        <v>50952</v>
      </c>
      <c r="B143" t="s">
        <v>261</v>
      </c>
      <c r="C143" s="79">
        <v>7575.52</v>
      </c>
      <c r="D143" s="79">
        <v>7575.52</v>
      </c>
    </row>
    <row r="144" spans="1:4" x14ac:dyDescent="0.25">
      <c r="A144">
        <v>50953</v>
      </c>
      <c r="B144" t="s">
        <v>262</v>
      </c>
      <c r="C144" s="79">
        <v>1127.03</v>
      </c>
      <c r="D144" s="79">
        <v>1127.03</v>
      </c>
    </row>
    <row r="145" spans="1:4" x14ac:dyDescent="0.25">
      <c r="A145">
        <v>50962</v>
      </c>
      <c r="B145" t="s">
        <v>264</v>
      </c>
      <c r="C145" s="79">
        <v>2206</v>
      </c>
      <c r="D145" s="79">
        <v>2206</v>
      </c>
    </row>
    <row r="146" spans="1:4" x14ac:dyDescent="0.25">
      <c r="A146">
        <v>50963</v>
      </c>
      <c r="B146" t="s">
        <v>265</v>
      </c>
      <c r="C146" s="79">
        <v>6760.57</v>
      </c>
      <c r="D146" s="79">
        <v>6760.57</v>
      </c>
    </row>
    <row r="147" spans="1:4" x14ac:dyDescent="0.25">
      <c r="A147">
        <v>50991</v>
      </c>
      <c r="B147" t="s">
        <v>254</v>
      </c>
      <c r="C147" s="79">
        <v>0.9</v>
      </c>
      <c r="D147" s="79">
        <v>0.9</v>
      </c>
    </row>
    <row r="148" spans="1:4" x14ac:dyDescent="0.25">
      <c r="A148" t="s">
        <v>288</v>
      </c>
      <c r="C148" s="79">
        <f>SUM(C138:C147)</f>
        <v>24743.920000000002</v>
      </c>
      <c r="D148" s="79">
        <f>SUM(D138:D147)</f>
        <v>24743.920000000002</v>
      </c>
    </row>
    <row r="150" spans="1:4" x14ac:dyDescent="0.25">
      <c r="A150" t="s">
        <v>268</v>
      </c>
      <c r="C150" s="79">
        <f>C89+C120+C129+C134+C148</f>
        <v>14932818.02</v>
      </c>
      <c r="D150" s="79">
        <f>D89+D120+D129+D134+D148</f>
        <v>14932818.02</v>
      </c>
    </row>
    <row r="151" spans="1:4" x14ac:dyDescent="0.25">
      <c r="A151" t="s">
        <v>269</v>
      </c>
      <c r="C151" s="79">
        <f>C34-C89-C120-C129-C134-C148</f>
        <v>-110168.28999999801</v>
      </c>
      <c r="D151" s="79">
        <f>D34-D89-D120-D129-D134-D148</f>
        <v>-110168.28999999801</v>
      </c>
    </row>
    <row r="152" spans="1:4" x14ac:dyDescent="0.25">
      <c r="A152" t="s">
        <v>271</v>
      </c>
    </row>
    <row r="153" spans="1:4" x14ac:dyDescent="0.25">
      <c r="A153" t="s">
        <v>272</v>
      </c>
    </row>
    <row r="154" spans="1:4" x14ac:dyDescent="0.25">
      <c r="A154">
        <v>41031</v>
      </c>
      <c r="B154" t="s">
        <v>273</v>
      </c>
      <c r="C154" s="79">
        <v>4330.7700000000004</v>
      </c>
      <c r="D154" s="79">
        <v>4330.7700000000004</v>
      </c>
    </row>
    <row r="155" spans="1:4" x14ac:dyDescent="0.25">
      <c r="A155">
        <v>41035</v>
      </c>
      <c r="B155" t="s">
        <v>274</v>
      </c>
      <c r="C155" s="79">
        <v>14939.62</v>
      </c>
      <c r="D155" s="79">
        <v>14939.62</v>
      </c>
    </row>
    <row r="156" spans="1:4" x14ac:dyDescent="0.25">
      <c r="A156" t="s">
        <v>275</v>
      </c>
      <c r="C156" s="79">
        <v>19270.39</v>
      </c>
      <c r="D156" s="79">
        <v>19270.39</v>
      </c>
    </row>
    <row r="158" spans="1:4" x14ac:dyDescent="0.25">
      <c r="A158" t="s">
        <v>276</v>
      </c>
    </row>
    <row r="159" spans="1:4" x14ac:dyDescent="0.25">
      <c r="A159">
        <v>41041</v>
      </c>
      <c r="B159" t="s">
        <v>277</v>
      </c>
      <c r="C159" s="79">
        <v>40742.239999999998</v>
      </c>
      <c r="D159" s="79">
        <v>40742.239999999998</v>
      </c>
    </row>
    <row r="160" spans="1:4" x14ac:dyDescent="0.25">
      <c r="A160" t="s">
        <v>278</v>
      </c>
      <c r="C160" s="79">
        <v>40742.239999999998</v>
      </c>
      <c r="D160" s="79">
        <v>40742.239999999998</v>
      </c>
    </row>
    <row r="162" spans="1:4" x14ac:dyDescent="0.25">
      <c r="A162" t="s">
        <v>280</v>
      </c>
    </row>
    <row r="163" spans="1:4" x14ac:dyDescent="0.25">
      <c r="A163" t="s">
        <v>281</v>
      </c>
    </row>
    <row r="164" spans="1:4" x14ac:dyDescent="0.25">
      <c r="A164">
        <v>51141</v>
      </c>
      <c r="B164" t="s">
        <v>256</v>
      </c>
      <c r="C164" s="79">
        <v>64063.54</v>
      </c>
      <c r="D164" s="79">
        <v>64063.54</v>
      </c>
    </row>
    <row r="165" spans="1:4" x14ac:dyDescent="0.25">
      <c r="A165" t="s">
        <v>284</v>
      </c>
      <c r="C165" s="79">
        <v>64063.54</v>
      </c>
      <c r="D165" s="79">
        <v>64063.54</v>
      </c>
    </row>
    <row r="167" spans="1:4" x14ac:dyDescent="0.25">
      <c r="A167" t="s">
        <v>289</v>
      </c>
      <c r="C167" s="79">
        <f>C151+C156+C160-C165</f>
        <v>-114219.19999999802</v>
      </c>
      <c r="D167" s="79">
        <f>D151+D156+D160-D165</f>
        <v>-114219.19999999802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5</vt:i4>
      </vt:variant>
    </vt:vector>
  </HeadingPairs>
  <TitlesOfParts>
    <vt:vector size="5" baseType="lpstr">
      <vt:lpstr>Üld</vt:lpstr>
      <vt:lpstr>Tulud</vt:lpstr>
      <vt:lpstr>Kulud</vt:lpstr>
      <vt:lpstr>EOK töövihik 31122023</vt:lpstr>
      <vt:lpstr>EOK_tulemiaruanne_2023</vt:lpstr>
    </vt:vector>
  </TitlesOfParts>
  <Company>Eesti Olümpiakomitee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 Sukles</dc:creator>
  <cp:lastModifiedBy>Kiiper Grupp OÜ</cp:lastModifiedBy>
  <cp:lastPrinted>2024-03-13T11:50:33Z</cp:lastPrinted>
  <dcterms:created xsi:type="dcterms:W3CDTF">2013-11-08T06:25:21Z</dcterms:created>
  <dcterms:modified xsi:type="dcterms:W3CDTF">2024-03-27T12:27:39Z</dcterms:modified>
</cp:coreProperties>
</file>